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0" yWindow="65236" windowWidth="10550" windowHeight="7860" activeTab="0"/>
  </bookViews>
  <sheets>
    <sheet name="LM5088 Calculator" sheetId="1" r:id="rId1"/>
    <sheet name="Power Dissipation" sheetId="2" r:id="rId2"/>
    <sheet name="Bode Plots" sheetId="3" r:id="rId3"/>
  </sheets>
  <definedNames>
    <definedName name="A">10</definedName>
    <definedName name="Cboot">'LM5088 Calculator'!$C$56</definedName>
    <definedName name="Ccomp">'LM5088 Calculator'!$C$49</definedName>
    <definedName name="Cdither">'LM5088 Calculator'!$C$59</definedName>
    <definedName name="Chf">Ccomp/100</definedName>
    <definedName name="Controller">'LM5088 Calculator'!$C$17</definedName>
    <definedName name="Controller_Select">'Bode Plots'!$T$11:$T$12</definedName>
    <definedName name="ControllerSelect">'LM5088 Calculator'!$C$16</definedName>
    <definedName name="Cout1">'LM5088 Calculator'!$C$32</definedName>
    <definedName name="Cout2">'LM5088 Calculator'!$C$33</definedName>
    <definedName name="Cramp">'LM5088 Calculator'!$C$29</definedName>
    <definedName name="Crestart">'LM5088 Calculator'!$C$63</definedName>
    <definedName name="Css">'LM5088 Calculator'!$C$53</definedName>
    <definedName name="CVCC">Cboot*10/1000</definedName>
    <definedName name="DC_GAIN_MOD">'Bode Plots'!$S$8</definedName>
    <definedName name="DeltaVout">'LM5088 Calculator'!$C$13</definedName>
    <definedName name="Fbw">'LM5088 Calculator'!$C$47</definedName>
    <definedName name="Fsw">'LM5088 Calculator'!$C$19</definedName>
    <definedName name="Fswmax">'Bode Plots'!$U$30</definedName>
    <definedName name="Fswmin">'Bode Plots'!$U$31</definedName>
    <definedName name="gm">0.000005</definedName>
    <definedName name="I_load_ripple">'LM5088 Calculator'!$C$12</definedName>
    <definedName name="Iload">'Bode Plots'!$S$11</definedName>
    <definedName name="ILoad_margin">'LM5088 Calculator'!$C$25</definedName>
    <definedName name="Ios">Vout*5</definedName>
    <definedName name="Ipk_load">'LM5088 Calculator'!$C$26</definedName>
    <definedName name="L">'LM5088 Calculator'!$C$23</definedName>
    <definedName name="Max_Ave_Iload">'LM5088 Calculator'!$C$11</definedName>
    <definedName name="n">'LM5088 Calculator'!$C$61</definedName>
    <definedName name="Op_Deviation">'LM5088 Calculator'!$C$14</definedName>
    <definedName name="Optional_ramp_resistor">'LM5088 Calculator'!$G$52</definedName>
    <definedName name="Qg">'LM5088 Calculator'!$C$55</definedName>
    <definedName name="Rcomp">'LM5088 Calculator'!$C$48</definedName>
    <definedName name="Rfb1">'LM5088 Calculator'!$C$44</definedName>
    <definedName name="Rfb2">'LM5088 Calculator'!$C$45</definedName>
    <definedName name="RJA">'Power Dissipation'!$B$8</definedName>
    <definedName name="Rload">'Bode Plots'!$S$7</definedName>
    <definedName name="Rs">'LM5088 Calculator'!$C$27</definedName>
    <definedName name="RT">'LM5088 Calculator'!$C$21</definedName>
    <definedName name="Ruv1">'LM5088 Calculator'!$C$42</definedName>
    <definedName name="Ruv2">'LM5088 Calculator'!$C$41</definedName>
    <definedName name="TA">'Power Dissipation'!$B$7</definedName>
    <definedName name="tss">'LM5088 Calculator'!$C$52</definedName>
    <definedName name="UV_Selector">'LM5088 Calculator'!$C$39</definedName>
    <definedName name="UVLO_Selector">'Bode Plots'!$T$7:$T$8</definedName>
    <definedName name="VCC">7.8</definedName>
    <definedName name="vcs">0.12</definedName>
    <definedName name="Vin_max">'LM5088 Calculator'!$C$9</definedName>
    <definedName name="Vin_min">'LM5088 Calculator'!$C$8</definedName>
    <definedName name="Vin_UV">'LM5088 Calculator'!$C$40</definedName>
    <definedName name="VinNom">(Vin_min+Vin_max)/2</definedName>
    <definedName name="Vout">'LM5088 Calculator'!$C$10</definedName>
    <definedName name="Vramp">(gm*(VinNom-Vout)+(Ios*0.000001))/(Fsw*Cramp*0.000000001)</definedName>
    <definedName name="Vref">1.205</definedName>
    <definedName name="_xlnm.Print_Area" localSheetId="0">'LM5088 Calculator'!$A$1:$N$66</definedName>
    <definedName name="_xlnm.Print_Area" localSheetId="1">'Power Dissipation'!$A$1:$L$52</definedName>
  </definedNames>
  <calcPr fullCalcOnLoad="1"/>
</workbook>
</file>

<file path=xl/comments1.xml><?xml version="1.0" encoding="utf-8"?>
<comments xmlns="http://schemas.openxmlformats.org/spreadsheetml/2006/main">
  <authors>
    <author>aajhsc</author>
  </authors>
  <commentList>
    <comment ref="C11" authorId="0">
      <text>
        <r>
          <rPr>
            <sz val="8"/>
            <rFont val="Tahoma"/>
            <family val="0"/>
          </rPr>
          <t>This is the Maximum  Load Current for the Application</t>
        </r>
      </text>
    </comment>
    <comment ref="C12" authorId="0">
      <text>
        <r>
          <rPr>
            <sz val="8"/>
            <rFont val="Tahoma"/>
            <family val="0"/>
          </rPr>
          <t>Maximum ripple current will occur at Vin(max).   Larger ripple currents allow for a smaller value inductor, but will result in higher ripple voltages on the Vout for a given Cout.</t>
        </r>
      </text>
    </comment>
    <comment ref="C25" authorId="0">
      <text>
        <r>
          <rPr>
            <sz val="8"/>
            <rFont val="Tahoma"/>
            <family val="0"/>
          </rPr>
          <t xml:space="preserve">Some margin beyond the maximum load current is recommended for the current limit threshold.   </t>
        </r>
      </text>
    </comment>
    <comment ref="C13" authorId="0">
      <text>
        <r>
          <rPr>
            <sz val="8"/>
            <rFont val="Tahoma"/>
            <family val="0"/>
          </rPr>
          <t>Steady-state fundamental peak-peak output voltage ripple at maximum load current</t>
        </r>
      </text>
    </comment>
    <comment ref="C14" authorId="0">
      <text>
        <r>
          <rPr>
            <sz val="8"/>
            <rFont val="Tahoma"/>
            <family val="0"/>
          </rPr>
          <t>Maximum allowable output voltage deviation during a transient such as sudden addition or removal of load</t>
        </r>
      </text>
    </comment>
    <comment ref="C33" authorId="0">
      <text>
        <r>
          <rPr>
            <sz val="8"/>
            <rFont val="Tahoma"/>
            <family val="0"/>
          </rPr>
          <t>Use a low ESR ceramic cap. It is suggested to parallel Cout1 and Cout2 such that the resultant ESR is less than the desired ESR for the max. ripple current</t>
        </r>
      </text>
    </comment>
    <comment ref="C32" authorId="0">
      <text>
        <r>
          <rPr>
            <sz val="8"/>
            <rFont val="Tahoma"/>
            <family val="0"/>
          </rPr>
          <t>This is the maximum value of capacitance required during transients. This could be a combination of ceramic capacitors and/or organic/tantalum capacitors</t>
        </r>
      </text>
    </comment>
    <comment ref="C44" authorId="0">
      <text>
        <r>
          <rPr>
            <sz val="8"/>
            <rFont val="Tahoma"/>
            <family val="0"/>
          </rPr>
          <t>select the value of RFB1  such that the current through the resistor (1.2V/ RFB1) is in between 1mA and 100uA.</t>
        </r>
      </text>
    </comment>
    <comment ref="C47" authorId="0">
      <text>
        <r>
          <rPr>
            <sz val="8"/>
            <rFont val="Tahoma"/>
            <family val="0"/>
          </rPr>
          <t xml:space="preserve">Enter the loopgain bandwidth. A good starting point is Fsw/10
</t>
        </r>
      </text>
    </comment>
    <comment ref="C55" authorId="0">
      <text>
        <r>
          <rPr>
            <sz val="8"/>
            <rFont val="Tahoma"/>
            <family val="0"/>
          </rPr>
          <t>Enter the total gate charge from the selected MOSFET datasheet</t>
        </r>
      </text>
    </comment>
    <comment ref="C52" authorId="0">
      <text>
        <r>
          <rPr>
            <sz val="8"/>
            <rFont val="Tahoma"/>
            <family val="0"/>
          </rPr>
          <t>t</t>
        </r>
        <r>
          <rPr>
            <vertAlign val="subscript"/>
            <sz val="8"/>
            <rFont val="Tahoma"/>
            <family val="2"/>
          </rPr>
          <t>ss</t>
        </r>
        <r>
          <rPr>
            <sz val="8"/>
            <rFont val="Tahoma"/>
            <family val="0"/>
          </rPr>
          <t xml:space="preserve"> is the time for the reference voltage and output voltage to reach their final value.  It should be substantially longer than the time required to charge Cout to Vout with the maximum output current.   (t</t>
        </r>
        <r>
          <rPr>
            <vertAlign val="subscript"/>
            <sz val="8"/>
            <rFont val="Tahoma"/>
            <family val="2"/>
          </rPr>
          <t>ss</t>
        </r>
        <r>
          <rPr>
            <sz val="8"/>
            <rFont val="Tahoma"/>
            <family val="0"/>
          </rPr>
          <t xml:space="preserve"> &gt;&gt;Vout*Cout/Iout)</t>
        </r>
      </text>
    </comment>
    <comment ref="C19" authorId="0">
      <text>
        <r>
          <rPr>
            <sz val="8"/>
            <rFont val="Tahoma"/>
            <family val="0"/>
          </rPr>
          <t xml:space="preserve">Enter the desired switching frequency. Higher the frequency higher the switching losses but lower the size of inductor and other components.
</t>
        </r>
        <r>
          <rPr>
            <b/>
            <sz val="8"/>
            <rFont val="Tahoma"/>
            <family val="2"/>
          </rPr>
          <t>Frequency Range:50kHz to 1MHz</t>
        </r>
      </text>
    </comment>
    <comment ref="C61" authorId="0">
      <text>
        <r>
          <rPr>
            <sz val="8"/>
            <rFont val="Tahoma"/>
            <family val="0"/>
          </rPr>
          <t>Allowable current limit overload time is the interval during which the converter is in cycle-by-cycle current limiting mode before the controller initiates a hiccup mode sleep time.</t>
        </r>
      </text>
    </comment>
    <comment ref="C59" authorId="0">
      <text>
        <r>
          <rPr>
            <sz val="8"/>
            <rFont val="Tahoma"/>
            <family val="0"/>
          </rPr>
          <t xml:space="preserve">This is the minimum value of the dither capacitor for dithering function to work effectively. </t>
        </r>
      </text>
    </comment>
    <comment ref="C50" authorId="0">
      <text>
        <r>
          <rPr>
            <sz val="8"/>
            <rFont val="Tahoma"/>
            <family val="0"/>
          </rPr>
          <t>If Chf=Cboot/100&lt;47pF, use a 47pF capacitor as a minimum value.</t>
        </r>
      </text>
    </comment>
    <comment ref="C56" authorId="0">
      <text>
        <r>
          <rPr>
            <sz val="8"/>
            <rFont val="Tahoma"/>
            <family val="0"/>
          </rPr>
          <t>Suggested Range: 22nF to 10uF</t>
        </r>
      </text>
    </comment>
    <comment ref="E52" authorId="0">
      <text>
        <r>
          <rPr>
            <sz val="8"/>
            <rFont val="Tahoma"/>
            <family val="0"/>
          </rPr>
          <t>RRAMP is required only for Vout&gt;5V</t>
        </r>
      </text>
    </comment>
    <comment ref="C34" authorId="0">
      <text>
        <r>
          <rPr>
            <sz val="8"/>
            <rFont val="Tahoma"/>
            <family val="0"/>
          </rPr>
          <t xml:space="preserve">Make sure that the ESR resulting from paralleling Cout1 and Cout2 is less than the value calculated in this box. </t>
        </r>
      </text>
    </comment>
    <comment ref="C37" authorId="0">
      <text>
        <r>
          <rPr>
            <sz val="8"/>
            <rFont val="Tahoma"/>
            <family val="2"/>
          </rPr>
          <t>Use a combination of low ESR ceramic caps.
A good approximation of ripple current is Irms&gt;Iout/2.
Scale appropriately ripple current for each input cap and make sure that it does not exceed the rating.</t>
        </r>
      </text>
    </comment>
    <comment ref="C57" authorId="0">
      <text>
        <r>
          <rPr>
            <sz val="8"/>
            <rFont val="Tahoma"/>
            <family val="0"/>
          </rPr>
          <t>Minimum Value for C</t>
        </r>
        <r>
          <rPr>
            <vertAlign val="subscript"/>
            <sz val="8"/>
            <rFont val="Tahoma"/>
            <family val="2"/>
          </rPr>
          <t>VCC</t>
        </r>
        <r>
          <rPr>
            <sz val="8"/>
            <rFont val="Tahoma"/>
            <family val="0"/>
          </rPr>
          <t xml:space="preserve"> is 0.1uF</t>
        </r>
      </text>
    </comment>
    <comment ref="F54" authorId="0">
      <text>
        <r>
          <rPr>
            <sz val="8"/>
            <rFont val="Tahoma"/>
            <family val="0"/>
          </rPr>
          <t>This is minimum voltage rating for the Schottky diode. Check the power rating of the diode as well. For Iload&gt;5A and Vin&gt;30V, A D2PAK is recommended</t>
        </r>
      </text>
    </comment>
    <comment ref="C23" authorId="0">
      <text>
        <r>
          <rPr>
            <sz val="8"/>
            <rFont val="Tahoma"/>
            <family val="0"/>
          </rPr>
          <t>This is the minimum value based on the ripple current selected above.
Round up to the nearest standard value.</t>
        </r>
      </text>
    </comment>
    <comment ref="C17" authorId="0">
      <text>
        <r>
          <rPr>
            <b/>
            <u val="single"/>
            <sz val="8"/>
            <rFont val="Tahoma"/>
            <family val="2"/>
          </rPr>
          <t>Dithering Versions</t>
        </r>
        <r>
          <rPr>
            <sz val="8"/>
            <rFont val="Tahoma"/>
            <family val="0"/>
          </rPr>
          <t xml:space="preserve">
LM5088-1 ;Input Range= 4.5V-75V
LM25088-1;Input Range=4.5V-42V
</t>
        </r>
        <r>
          <rPr>
            <b/>
            <u val="single"/>
            <sz val="8"/>
            <rFont val="Tahoma"/>
            <family val="2"/>
          </rPr>
          <t>Restart Versions</t>
        </r>
        <r>
          <rPr>
            <sz val="8"/>
            <rFont val="Tahoma"/>
            <family val="0"/>
          </rPr>
          <t xml:space="preserve">
LM5088-2;Input Range= 4.5V-75V
LM25088-2;Input Range=4.5V-42V
</t>
        </r>
      </text>
    </comment>
    <comment ref="B16" authorId="0">
      <text>
        <r>
          <rPr>
            <sz val="8"/>
            <rFont val="Tahoma"/>
            <family val="0"/>
          </rPr>
          <t>LM(2)5088-1 provides an optional +/-5% oscillator dithering
LM(2)5088-2 provides an optional hiccup mode restart</t>
        </r>
      </text>
    </comment>
    <comment ref="B39" authorId="0">
      <text>
        <r>
          <rPr>
            <sz val="8"/>
            <rFont val="Tahoma"/>
            <family val="0"/>
          </rPr>
          <t xml:space="preserve">Select "YES" for VIN UV shutdown using resistor divider.
Select "NO" to leave the pin open. </t>
        </r>
      </text>
    </comment>
    <comment ref="C40" authorId="0">
      <text>
        <r>
          <rPr>
            <sz val="8"/>
            <rFont val="Tahoma"/>
            <family val="0"/>
          </rPr>
          <t>Enter the minimum voltage at which the converter is desired to Turn ON</t>
        </r>
      </text>
    </comment>
    <comment ref="C42" authorId="0">
      <text>
        <r>
          <rPr>
            <sz val="8"/>
            <rFont val="Tahoma"/>
            <family val="2"/>
          </rPr>
          <t>Absolute Max rating for EN pin is 14V. Refer Datasheet for more details</t>
        </r>
      </text>
    </comment>
    <comment ref="H33" authorId="0">
      <text>
        <r>
          <rPr>
            <sz val="8"/>
            <rFont val="Tahoma"/>
            <family val="2"/>
          </rPr>
          <t>The ratings shown below are recommendations only. Every design is unique and might have transients due to unique conditions such as layout etc.Hence, the component rating has to be investigated tweaked  case-by-case basis.</t>
        </r>
      </text>
    </comment>
    <comment ref="C62" authorId="0">
      <text>
        <r>
          <rPr>
            <sz val="8"/>
            <rFont val="Tahoma"/>
            <family val="0"/>
          </rPr>
          <t>Hiccup mode sleep time is the interval during which the converter is OFF. During this interval C</t>
        </r>
        <r>
          <rPr>
            <vertAlign val="subscript"/>
            <sz val="8"/>
            <rFont val="Tahoma"/>
            <family val="2"/>
          </rPr>
          <t>RES</t>
        </r>
        <r>
          <rPr>
            <sz val="8"/>
            <rFont val="Tahoma"/>
            <family val="0"/>
          </rPr>
          <t xml:space="preserve"> capacitor is discharged by a 1.2uA current source till the V</t>
        </r>
        <r>
          <rPr>
            <vertAlign val="subscript"/>
            <sz val="8"/>
            <rFont val="Tahoma"/>
            <family val="2"/>
          </rPr>
          <t>RES</t>
        </r>
        <r>
          <rPr>
            <sz val="8"/>
            <rFont val="Tahoma"/>
            <family val="0"/>
          </rPr>
          <t xml:space="preserve"> reaches 0.2V.
</t>
        </r>
      </text>
    </comment>
  </commentList>
</comments>
</file>

<file path=xl/comments2.xml><?xml version="1.0" encoding="utf-8"?>
<comments xmlns="http://schemas.openxmlformats.org/spreadsheetml/2006/main">
  <authors>
    <author>Karl Heck</author>
  </authors>
  <commentList>
    <comment ref="B8" authorId="0">
      <text>
        <r>
          <rPr>
            <sz val="8"/>
            <rFont val="Tahoma"/>
            <family val="2"/>
          </rPr>
          <t>The TSSOP exposed pad thermal resistance is approximately 40C/W</t>
        </r>
      </text>
    </comment>
    <comment ref="A12" authorId="0">
      <text>
        <r>
          <rPr>
            <sz val="8"/>
            <rFont val="Tahoma"/>
            <family val="0"/>
          </rPr>
          <t>PD=</t>
        </r>
        <r>
          <rPr>
            <b/>
            <sz val="8"/>
            <rFont val="Tahoma"/>
            <family val="2"/>
          </rPr>
          <t>Vin*Iin+Fsw*Qg*Vin</t>
        </r>
        <r>
          <rPr>
            <sz val="8"/>
            <rFont val="Tahoma"/>
            <family val="0"/>
          </rPr>
          <t xml:space="preserve">  
  </t>
        </r>
      </text>
    </comment>
    <comment ref="A13" authorId="0">
      <text>
        <r>
          <rPr>
            <sz val="8"/>
            <rFont val="Tahoma"/>
            <family val="0"/>
          </rPr>
          <t>LM5088 junction temperature above TA</t>
        </r>
      </text>
    </comment>
    <comment ref="A14" authorId="0">
      <text>
        <r>
          <rPr>
            <sz val="8"/>
            <rFont val="Tahoma"/>
            <family val="0"/>
          </rPr>
          <t>Approximate absolute TJ</t>
        </r>
      </text>
    </comment>
  </commentList>
</comments>
</file>

<file path=xl/sharedStrings.xml><?xml version="1.0" encoding="utf-8"?>
<sst xmlns="http://schemas.openxmlformats.org/spreadsheetml/2006/main" count="144" uniqueCount="130">
  <si>
    <t>Step 1 General Requirements</t>
  </si>
  <si>
    <t>Vout(V)</t>
  </si>
  <si>
    <t>Vin(min)(V)</t>
  </si>
  <si>
    <t>Vin(max)(V)</t>
  </si>
  <si>
    <t>Ripple Current % of Max. Load Current</t>
  </si>
  <si>
    <t>Target(% Beyond Max. Load)</t>
  </si>
  <si>
    <t>Fsw(kHz)</t>
  </si>
  <si>
    <t xml:space="preserve">Peak-Peak output voltage ripple(mV) </t>
  </si>
  <si>
    <t>Max. output volts deviation(mV)</t>
  </si>
  <si>
    <t>L(μH)</t>
  </si>
  <si>
    <t>Current Sense Resistor (Rs)(mΩ)</t>
  </si>
  <si>
    <t>Bandwidth (kHz)</t>
  </si>
  <si>
    <t>Soft-Start Time (ms)</t>
  </si>
  <si>
    <t>Soft-Start Capacitor Css (uF)</t>
  </si>
  <si>
    <t>Modulator
Gain
(dB)</t>
  </si>
  <si>
    <t>Modulator
Phase
(deg)</t>
  </si>
  <si>
    <t>Error Amplifier Gain
(dB)</t>
  </si>
  <si>
    <t>Error Amplifier Phase (deg)</t>
  </si>
  <si>
    <t>Overall Loop
Gain
(dB)</t>
  </si>
  <si>
    <t>Loop
Phase
(deg)</t>
  </si>
  <si>
    <t>RLOAD</t>
  </si>
  <si>
    <t>DC GAIN MOD</t>
  </si>
  <si>
    <t>Enter Design parameters in the shaded</t>
  </si>
  <si>
    <t>Cells</t>
  </si>
  <si>
    <t>Frequency (Hz)</t>
  </si>
  <si>
    <t>Frequency (rad/sec)</t>
  </si>
  <si>
    <t>Assumptions</t>
  </si>
  <si>
    <t>Ambient Temperature</t>
  </si>
  <si>
    <t>Package RJA</t>
  </si>
  <si>
    <t>VIN</t>
  </si>
  <si>
    <t>IC Power</t>
  </si>
  <si>
    <t>Junction temperature</t>
  </si>
  <si>
    <t>Component</t>
  </si>
  <si>
    <t>Description</t>
  </si>
  <si>
    <t>Value</t>
  </si>
  <si>
    <t>Rating</t>
  </si>
  <si>
    <t>Input capacitor</t>
  </si>
  <si>
    <t>Ramp capacitor</t>
  </si>
  <si>
    <t>5 V</t>
  </si>
  <si>
    <t>Soft start capacitor</t>
  </si>
  <si>
    <t>Output capacitor</t>
  </si>
  <si>
    <t>16V</t>
  </si>
  <si>
    <t>Compensation capacitor</t>
  </si>
  <si>
    <t>VCC bypass capacitor</t>
  </si>
  <si>
    <t>Feedback resistor</t>
  </si>
  <si>
    <t>UVLO divider resistor</t>
  </si>
  <si>
    <t>Rs</t>
  </si>
  <si>
    <t>Sense Resistor</t>
  </si>
  <si>
    <t>Oscillator Timing resistor</t>
  </si>
  <si>
    <t>L</t>
  </si>
  <si>
    <t>Inductor</t>
  </si>
  <si>
    <t>Compensation resistor</t>
  </si>
  <si>
    <t>1/8 W</t>
  </si>
  <si>
    <t>LM5088 List of Components</t>
  </si>
  <si>
    <t>Dither Capacitor</t>
  </si>
  <si>
    <t>Hiccup Restart</t>
  </si>
  <si>
    <t>Yes</t>
  </si>
  <si>
    <t>No</t>
  </si>
  <si>
    <t>Additional Definitions</t>
  </si>
  <si>
    <t>UVLO Selector</t>
  </si>
  <si>
    <t>VCC</t>
  </si>
  <si>
    <t>Highside Bootstrap capacitor</t>
  </si>
  <si>
    <t>Controller Selection</t>
  </si>
  <si>
    <t>D</t>
  </si>
  <si>
    <t>Schottky Diode</t>
  </si>
  <si>
    <t>Voltage Rating</t>
  </si>
  <si>
    <t>Q</t>
  </si>
  <si>
    <t>MOSFET</t>
  </si>
  <si>
    <t>Ajay Hari</t>
  </si>
  <si>
    <t>Delta TJ above TA</t>
  </si>
  <si>
    <r>
      <t>C</t>
    </r>
    <r>
      <rPr>
        <vertAlign val="subscript"/>
        <sz val="11"/>
        <rFont val="Arial"/>
        <family val="2"/>
      </rPr>
      <t>Ramp</t>
    </r>
  </si>
  <si>
    <r>
      <t>C</t>
    </r>
    <r>
      <rPr>
        <vertAlign val="subscript"/>
        <sz val="11"/>
        <rFont val="Arial"/>
        <family val="2"/>
      </rPr>
      <t>in</t>
    </r>
    <r>
      <rPr>
        <sz val="10"/>
        <rFont val="Arial"/>
        <family val="0"/>
      </rPr>
      <t xml:space="preserve"> </t>
    </r>
  </si>
  <si>
    <r>
      <t>C</t>
    </r>
    <r>
      <rPr>
        <vertAlign val="subscript"/>
        <sz val="11"/>
        <rFont val="Arial"/>
        <family val="2"/>
      </rPr>
      <t>ss</t>
    </r>
  </si>
  <si>
    <r>
      <t>C</t>
    </r>
    <r>
      <rPr>
        <vertAlign val="subscript"/>
        <sz val="10"/>
        <rFont val="Arial"/>
        <family val="2"/>
      </rPr>
      <t>OUT1</t>
    </r>
  </si>
  <si>
    <r>
      <t>C</t>
    </r>
    <r>
      <rPr>
        <vertAlign val="subscript"/>
        <sz val="10"/>
        <rFont val="Arial"/>
        <family val="2"/>
      </rPr>
      <t>OUT2</t>
    </r>
  </si>
  <si>
    <r>
      <t>C</t>
    </r>
    <r>
      <rPr>
        <vertAlign val="subscript"/>
        <sz val="10"/>
        <rFont val="Arial"/>
        <family val="2"/>
      </rPr>
      <t>COMP</t>
    </r>
  </si>
  <si>
    <r>
      <t>C</t>
    </r>
    <r>
      <rPr>
        <vertAlign val="subscript"/>
        <sz val="10"/>
        <rFont val="Arial"/>
        <family val="2"/>
      </rPr>
      <t>HF</t>
    </r>
  </si>
  <si>
    <r>
      <t>C</t>
    </r>
    <r>
      <rPr>
        <vertAlign val="subscript"/>
        <sz val="10"/>
        <rFont val="Arial"/>
        <family val="2"/>
      </rPr>
      <t>VCC</t>
    </r>
  </si>
  <si>
    <r>
      <t>C</t>
    </r>
    <r>
      <rPr>
        <vertAlign val="subscript"/>
        <sz val="10"/>
        <rFont val="Arial"/>
        <family val="2"/>
      </rPr>
      <t>BOOT</t>
    </r>
  </si>
  <si>
    <r>
      <t>R</t>
    </r>
    <r>
      <rPr>
        <vertAlign val="subscript"/>
        <sz val="10"/>
        <rFont val="Arial"/>
        <family val="2"/>
      </rPr>
      <t>FB1</t>
    </r>
  </si>
  <si>
    <r>
      <t>R</t>
    </r>
    <r>
      <rPr>
        <vertAlign val="subscript"/>
        <sz val="10"/>
        <rFont val="Arial"/>
        <family val="2"/>
      </rPr>
      <t>FB2</t>
    </r>
  </si>
  <si>
    <r>
      <t>R</t>
    </r>
    <r>
      <rPr>
        <vertAlign val="subscript"/>
        <sz val="10"/>
        <rFont val="Arial"/>
        <family val="2"/>
      </rPr>
      <t>UV1</t>
    </r>
  </si>
  <si>
    <r>
      <t>R</t>
    </r>
    <r>
      <rPr>
        <vertAlign val="subscript"/>
        <sz val="10"/>
        <rFont val="Arial"/>
        <family val="2"/>
      </rPr>
      <t>UV2</t>
    </r>
  </si>
  <si>
    <r>
      <t>R</t>
    </r>
    <r>
      <rPr>
        <vertAlign val="subscript"/>
        <sz val="10"/>
        <rFont val="Arial"/>
        <family val="2"/>
      </rPr>
      <t>RT</t>
    </r>
  </si>
  <si>
    <r>
      <t>R</t>
    </r>
    <r>
      <rPr>
        <vertAlign val="subscript"/>
        <sz val="10"/>
        <rFont val="Arial"/>
        <family val="2"/>
      </rPr>
      <t>Ramp</t>
    </r>
  </si>
  <si>
    <r>
      <t>R</t>
    </r>
    <r>
      <rPr>
        <vertAlign val="subscript"/>
        <sz val="10"/>
        <rFont val="Arial"/>
        <family val="2"/>
      </rPr>
      <t>COMP</t>
    </r>
  </si>
  <si>
    <r>
      <t>C</t>
    </r>
    <r>
      <rPr>
        <vertAlign val="subscript"/>
        <sz val="10"/>
        <rFont val="Arial"/>
        <family val="2"/>
      </rPr>
      <t>BOOT</t>
    </r>
    <r>
      <rPr>
        <sz val="10"/>
        <rFont val="Arial"/>
        <family val="2"/>
      </rPr>
      <t>(nF)</t>
    </r>
  </si>
  <si>
    <r>
      <t>C</t>
    </r>
    <r>
      <rPr>
        <vertAlign val="subscript"/>
        <sz val="10"/>
        <rFont val="Arial"/>
        <family val="2"/>
      </rPr>
      <t>VCC</t>
    </r>
    <r>
      <rPr>
        <sz val="10"/>
        <rFont val="Arial"/>
        <family val="2"/>
      </rPr>
      <t>(uF)</t>
    </r>
  </si>
  <si>
    <r>
      <t>FET total gate charge Q</t>
    </r>
    <r>
      <rPr>
        <vertAlign val="subscript"/>
        <sz val="10"/>
        <rFont val="Arial"/>
        <family val="2"/>
      </rPr>
      <t>T</t>
    </r>
    <r>
      <rPr>
        <sz val="10"/>
        <rFont val="Arial"/>
        <family val="2"/>
      </rPr>
      <t xml:space="preserve"> (nano Coulombs)</t>
    </r>
  </si>
  <si>
    <r>
      <t>C</t>
    </r>
    <r>
      <rPr>
        <vertAlign val="subscript"/>
        <sz val="10"/>
        <rFont val="Arial"/>
        <family val="2"/>
      </rPr>
      <t>HF</t>
    </r>
    <r>
      <rPr>
        <sz val="10"/>
        <rFont val="Arial"/>
        <family val="2"/>
      </rPr>
      <t>(pF)</t>
    </r>
  </si>
  <si>
    <r>
      <t>C</t>
    </r>
    <r>
      <rPr>
        <vertAlign val="subscript"/>
        <sz val="10"/>
        <rFont val="Arial"/>
        <family val="2"/>
      </rPr>
      <t>COMP</t>
    </r>
    <r>
      <rPr>
        <sz val="10"/>
        <rFont val="Arial"/>
        <family val="2"/>
      </rPr>
      <t>(pF)</t>
    </r>
  </si>
  <si>
    <r>
      <t>R</t>
    </r>
    <r>
      <rPr>
        <vertAlign val="subscript"/>
        <sz val="10"/>
        <rFont val="Arial"/>
        <family val="2"/>
      </rPr>
      <t>FB1</t>
    </r>
    <r>
      <rPr>
        <sz val="10"/>
        <rFont val="Arial"/>
        <family val="2"/>
      </rPr>
      <t xml:space="preserve"> (kΩ)</t>
    </r>
  </si>
  <si>
    <r>
      <t>R</t>
    </r>
    <r>
      <rPr>
        <vertAlign val="subscript"/>
        <sz val="10"/>
        <rFont val="Arial"/>
        <family val="2"/>
      </rPr>
      <t>FB2</t>
    </r>
    <r>
      <rPr>
        <sz val="10"/>
        <rFont val="Arial"/>
        <family val="2"/>
      </rPr>
      <t xml:space="preserve"> (kΩ)</t>
    </r>
  </si>
  <si>
    <r>
      <t>C</t>
    </r>
    <r>
      <rPr>
        <vertAlign val="subscript"/>
        <sz val="10"/>
        <rFont val="Arial"/>
        <family val="2"/>
      </rPr>
      <t>OUT1</t>
    </r>
    <r>
      <rPr>
        <sz val="10"/>
        <rFont val="Arial"/>
        <family val="2"/>
      </rPr>
      <t>(uF)</t>
    </r>
  </si>
  <si>
    <r>
      <t>C</t>
    </r>
    <r>
      <rPr>
        <vertAlign val="subscript"/>
        <sz val="10"/>
        <rFont val="Arial"/>
        <family val="2"/>
      </rPr>
      <t>OUT2</t>
    </r>
    <r>
      <rPr>
        <sz val="10"/>
        <rFont val="Arial"/>
        <family val="2"/>
      </rPr>
      <t>(uF)</t>
    </r>
  </si>
  <si>
    <r>
      <t>C</t>
    </r>
    <r>
      <rPr>
        <vertAlign val="subscript"/>
        <sz val="10"/>
        <rFont val="Arial"/>
        <family val="2"/>
      </rPr>
      <t>OUT_TOTAL</t>
    </r>
    <r>
      <rPr>
        <sz val="10"/>
        <rFont val="Arial"/>
        <family val="2"/>
      </rPr>
      <t xml:space="preserve"> (uF)</t>
    </r>
  </si>
  <si>
    <r>
      <t>C</t>
    </r>
    <r>
      <rPr>
        <vertAlign val="subscript"/>
        <sz val="10"/>
        <rFont val="Arial"/>
        <family val="2"/>
      </rPr>
      <t>Ramp</t>
    </r>
    <r>
      <rPr>
        <sz val="10"/>
        <rFont val="Arial"/>
        <family val="2"/>
      </rPr>
      <t>(pF)</t>
    </r>
  </si>
  <si>
    <r>
      <t>R</t>
    </r>
    <r>
      <rPr>
        <vertAlign val="subscript"/>
        <sz val="10"/>
        <rFont val="Arial"/>
        <family val="2"/>
      </rPr>
      <t>RT</t>
    </r>
    <r>
      <rPr>
        <sz val="10"/>
        <rFont val="Arial"/>
        <family val="2"/>
      </rPr>
      <t>(kΩ)</t>
    </r>
  </si>
  <si>
    <t>Optional Ramp resistor</t>
  </si>
  <si>
    <t>Max. Allowable ESR(mΩ)</t>
  </si>
  <si>
    <r>
      <t>R</t>
    </r>
    <r>
      <rPr>
        <vertAlign val="subscript"/>
        <sz val="10"/>
        <rFont val="Arial"/>
        <family val="2"/>
      </rPr>
      <t>COMP</t>
    </r>
    <r>
      <rPr>
        <sz val="10"/>
        <rFont val="Arial"/>
        <family val="2"/>
      </rPr>
      <t>(kΩ)</t>
    </r>
  </si>
  <si>
    <r>
      <t>Input Capacitor C</t>
    </r>
    <r>
      <rPr>
        <vertAlign val="subscript"/>
        <sz val="10"/>
        <rFont val="Arial"/>
        <family val="2"/>
      </rPr>
      <t>in</t>
    </r>
    <r>
      <rPr>
        <sz val="10"/>
        <rFont val="Arial"/>
        <family val="2"/>
      </rPr>
      <t>(uF)</t>
    </r>
  </si>
  <si>
    <t>Max. Load Current (A)</t>
  </si>
  <si>
    <t xml:space="preserve">Select the Controller Version </t>
  </si>
  <si>
    <t>Dither</t>
  </si>
  <si>
    <t>Restart</t>
  </si>
  <si>
    <t>Step 2 Controller Selection</t>
  </si>
  <si>
    <t>Step 3 Switching Frequency</t>
  </si>
  <si>
    <t>Step 4 Frequency Programming</t>
  </si>
  <si>
    <t>Step 5 Inductor Value</t>
  </si>
  <si>
    <t>Step 6 Current Limit</t>
  </si>
  <si>
    <t>Step 7 Ramp Configuration</t>
  </si>
  <si>
    <t>Step 8 Output Capacitors</t>
  </si>
  <si>
    <t>Step 9 Input Capacitors</t>
  </si>
  <si>
    <t>Step 10 VIN UV Shutdown</t>
  </si>
  <si>
    <t>Step 11 Feedback Resistors</t>
  </si>
  <si>
    <t>Step 12 Compensation Network</t>
  </si>
  <si>
    <t>Step 13 Soft Start Capacitor</t>
  </si>
  <si>
    <r>
      <t>Step 14 C</t>
    </r>
    <r>
      <rPr>
        <b/>
        <vertAlign val="subscript"/>
        <sz val="10"/>
        <rFont val="Arial"/>
        <family val="2"/>
      </rPr>
      <t>BOOT</t>
    </r>
    <r>
      <rPr>
        <b/>
        <sz val="10"/>
        <rFont val="Arial"/>
        <family val="2"/>
      </rPr>
      <t xml:space="preserve"> &amp; VCC Capacitor</t>
    </r>
  </si>
  <si>
    <t>Recommended Device</t>
  </si>
  <si>
    <r>
      <t xml:space="preserve">Select </t>
    </r>
    <r>
      <rPr>
        <b/>
        <sz val="10"/>
        <rFont val="Arial"/>
        <family val="2"/>
      </rPr>
      <t>"Yes"</t>
    </r>
    <r>
      <rPr>
        <sz val="10"/>
        <rFont val="Arial"/>
        <family val="2"/>
      </rPr>
      <t xml:space="preserve"> or</t>
    </r>
    <r>
      <rPr>
        <b/>
        <sz val="10"/>
        <rFont val="Arial"/>
        <family val="2"/>
      </rPr>
      <t xml:space="preserve"> "No"</t>
    </r>
  </si>
  <si>
    <r>
      <t>C</t>
    </r>
    <r>
      <rPr>
        <vertAlign val="subscript"/>
        <sz val="10"/>
        <rFont val="Arial"/>
        <family val="2"/>
      </rPr>
      <t>DITHER</t>
    </r>
    <r>
      <rPr>
        <sz val="10"/>
        <rFont val="Arial"/>
        <family val="0"/>
      </rPr>
      <t xml:space="preserve"> (LM(2)5088-1)</t>
    </r>
  </si>
  <si>
    <r>
      <t>C</t>
    </r>
    <r>
      <rPr>
        <vertAlign val="subscript"/>
        <sz val="10"/>
        <rFont val="Arial"/>
        <family val="2"/>
      </rPr>
      <t>RESTART</t>
    </r>
    <r>
      <rPr>
        <sz val="10"/>
        <rFont val="Arial"/>
        <family val="0"/>
      </rPr>
      <t>(LM(2)5088-2)</t>
    </r>
  </si>
  <si>
    <t>LM(2)5088-1/2 Quick Start Component Calculator</t>
  </si>
  <si>
    <t>Peak Load Current at Current Limit (A)</t>
  </si>
  <si>
    <t>Step 15 Dither Capacitor(LM(2)5088-1)</t>
  </si>
  <si>
    <t>Step 16 Restart Capacitor(LM(2)5088-2)</t>
  </si>
  <si>
    <t>Date:1 Dec 2008</t>
  </si>
  <si>
    <t>Version 1.1</t>
  </si>
  <si>
    <t>NA</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</si>
</sst>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0.0"/>
    <numFmt numFmtId="174" formatCode="0.000000"/>
    <numFmt numFmtId="175" formatCode="0.00000"/>
    <numFmt numFmtId="176" formatCode="0.000"/>
    <numFmt numFmtId="177" formatCode="0.0000"/>
    <numFmt numFmtId="178" formatCode="0\ &quot;C&quot;"/>
    <numFmt numFmtId="179" formatCode="0\ &quot;C/W&quot;"/>
    <numFmt numFmtId="180" formatCode="0.0\ &quot;V&quot;"/>
    <numFmt numFmtId="181" formatCode="0.000\ &quot;W&quot;"/>
    <numFmt numFmtId="182" formatCode="0.E+00"/>
    <numFmt numFmtId="183" formatCode="0\ &quot;V&quot;"/>
    <numFmt numFmtId="184" formatCode="0&quot;uF&quot;"/>
    <numFmt numFmtId="185" formatCode="0&quot;pF&quot;"/>
    <numFmt numFmtId="186" formatCode="0.000&quot;uF&quot;"/>
    <numFmt numFmtId="187" formatCode="0.0&quot;uF&quot;"/>
    <numFmt numFmtId="188" formatCode="0\ &quot;ohms&quot;"/>
    <numFmt numFmtId="189" formatCode="0.00\ &quot;kohms&quot;"/>
    <numFmt numFmtId="190" formatCode="0.00\ &quot;mohms&quot;"/>
    <numFmt numFmtId="191" formatCode="0.0\ &quot;W&quot;"/>
    <numFmt numFmtId="192" formatCode="0.00\ &quot;uH&quot;"/>
    <numFmt numFmtId="193" formatCode="0.0\ &quot;A&quot;"/>
    <numFmt numFmtId="194" formatCode="0\ &quot;kohms&quot;"/>
    <numFmt numFmtId="195" formatCode="0.000&quot;nF&quot;"/>
    <numFmt numFmtId="196" formatCode="0.00\ &quot;kohm&quot;"/>
    <numFmt numFmtId="197" formatCode="0.0\ &quot;kohms&quot;"/>
    <numFmt numFmtId="198" formatCode="0\ &quot;kohm&quot;"/>
    <numFmt numFmtId="199" formatCode="0.0\ &quot;kohm&quot;"/>
    <numFmt numFmtId="200" formatCode="[$-409]dddd\,\ mmmm\ dd\,\ yyyy"/>
  </numFmts>
  <fonts count="58">
    <font>
      <sz val="10"/>
      <name val="Arial"/>
      <family val="0"/>
    </font>
    <font>
      <b/>
      <sz val="10"/>
      <name val="Arial"/>
      <family val="2"/>
    </font>
    <font>
      <b/>
      <sz val="14"/>
      <name val="Arial"/>
      <family val="2"/>
    </font>
    <font>
      <sz val="8"/>
      <name val="Arial"/>
      <family val="0"/>
    </font>
    <font>
      <sz val="10"/>
      <color indexed="10"/>
      <name val="Arial"/>
      <family val="2"/>
    </font>
    <font>
      <sz val="8"/>
      <name val="Tahoma"/>
      <family val="2"/>
    </font>
    <font>
      <b/>
      <sz val="8"/>
      <name val="Tahoma"/>
      <family val="2"/>
    </font>
    <font>
      <b/>
      <u val="single"/>
      <sz val="10"/>
      <name val="Arial"/>
      <family val="2"/>
    </font>
    <font>
      <b/>
      <vertAlign val="subscript"/>
      <sz val="10"/>
      <name val="Arial"/>
      <family val="2"/>
    </font>
    <font>
      <vertAlign val="subscript"/>
      <sz val="10"/>
      <name val="Arial"/>
      <family val="2"/>
    </font>
    <font>
      <vertAlign val="subscript"/>
      <sz val="11"/>
      <name val="Arial"/>
      <family val="2"/>
    </font>
    <font>
      <vertAlign val="subscript"/>
      <sz val="8"/>
      <name val="Tahoma"/>
      <family val="2"/>
    </font>
    <font>
      <b/>
      <sz val="10"/>
      <color indexed="10"/>
      <name val="Arial"/>
      <family val="2"/>
    </font>
    <font>
      <u val="single"/>
      <sz val="8.5"/>
      <color indexed="12"/>
      <name val="Arial"/>
      <family val="0"/>
    </font>
    <font>
      <u val="single"/>
      <sz val="8.5"/>
      <color indexed="36"/>
      <name val="Arial"/>
      <family val="0"/>
    </font>
    <font>
      <b/>
      <u val="single"/>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9.75"/>
      <color indexed="8"/>
      <name val="Arial"/>
      <family val="0"/>
    </font>
    <font>
      <b/>
      <sz val="9.75"/>
      <color indexed="8"/>
      <name val="Arial"/>
      <family val="0"/>
    </font>
    <font>
      <sz val="8"/>
      <color indexed="8"/>
      <name val="Arial"/>
      <family val="0"/>
    </font>
    <font>
      <b/>
      <sz val="8"/>
      <color indexed="8"/>
      <name val="Arial"/>
      <family val="0"/>
    </font>
    <font>
      <b/>
      <sz val="8"/>
      <color indexed="18"/>
      <name val="Arial"/>
      <family val="0"/>
    </font>
    <font>
      <b/>
      <sz val="8"/>
      <color indexed="14"/>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medium"/>
      <top>
        <color indexed="63"/>
      </top>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90">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1" fillId="33" borderId="0" xfId="0" applyFont="1" applyFill="1" applyAlignment="1">
      <alignment horizontal="center"/>
    </xf>
    <xf numFmtId="178" fontId="0" fillId="34" borderId="10" xfId="0" applyNumberFormat="1" applyFill="1" applyBorder="1" applyAlignment="1" applyProtection="1">
      <alignment horizontal="center"/>
      <protection locked="0"/>
    </xf>
    <xf numFmtId="179" fontId="0" fillId="34" borderId="10" xfId="0" applyNumberFormat="1" applyFill="1" applyBorder="1" applyAlignment="1" applyProtection="1">
      <alignment horizontal="center"/>
      <protection locked="0"/>
    </xf>
    <xf numFmtId="180" fontId="0" fillId="33" borderId="0" xfId="0" applyNumberFormat="1" applyFill="1" applyAlignment="1">
      <alignment horizontal="center"/>
    </xf>
    <xf numFmtId="0" fontId="0" fillId="33" borderId="0" xfId="0" applyFill="1" applyBorder="1" applyAlignment="1">
      <alignment horizontal="center"/>
    </xf>
    <xf numFmtId="181" fontId="0" fillId="33" borderId="0" xfId="0" applyNumberFormat="1" applyFill="1" applyAlignment="1">
      <alignment horizontal="center"/>
    </xf>
    <xf numFmtId="178" fontId="0" fillId="33" borderId="0" xfId="0" applyNumberFormat="1" applyFill="1" applyAlignment="1">
      <alignment horizontal="center"/>
    </xf>
    <xf numFmtId="1" fontId="0" fillId="33" borderId="0" xfId="0" applyNumberFormat="1" applyFill="1" applyAlignment="1">
      <alignment horizontal="center"/>
    </xf>
    <xf numFmtId="0" fontId="1" fillId="33" borderId="0" xfId="0" applyFont="1" applyFill="1" applyAlignment="1">
      <alignment horizontal="center" wrapText="1"/>
    </xf>
    <xf numFmtId="0" fontId="0" fillId="33" borderId="0" xfId="0" applyNumberFormat="1" applyFill="1" applyAlignment="1">
      <alignment horizontal="center"/>
    </xf>
    <xf numFmtId="11" fontId="0" fillId="33" borderId="0" xfId="0" applyNumberFormat="1" applyFill="1" applyAlignment="1">
      <alignment/>
    </xf>
    <xf numFmtId="173" fontId="0" fillId="33" borderId="0" xfId="0" applyNumberFormat="1" applyFill="1" applyAlignment="1">
      <alignment horizontal="center"/>
    </xf>
    <xf numFmtId="0" fontId="7" fillId="33" borderId="0" xfId="0" applyFont="1" applyFill="1" applyAlignment="1">
      <alignment/>
    </xf>
    <xf numFmtId="0" fontId="0" fillId="33" borderId="0" xfId="0" applyFont="1" applyFill="1" applyAlignment="1">
      <alignment horizontal="center"/>
    </xf>
    <xf numFmtId="0" fontId="0" fillId="35" borderId="11" xfId="0" applyFont="1" applyFill="1" applyBorder="1" applyAlignment="1" applyProtection="1">
      <alignment horizontal="center"/>
      <protection locked="0"/>
    </xf>
    <xf numFmtId="0" fontId="0" fillId="35" borderId="11" xfId="0" applyFill="1" applyBorder="1" applyAlignment="1" applyProtection="1">
      <alignment horizontal="center"/>
      <protection locked="0"/>
    </xf>
    <xf numFmtId="9" fontId="0" fillId="35" borderId="12" xfId="0" applyNumberFormat="1" applyFont="1" applyFill="1" applyBorder="1" applyAlignment="1" applyProtection="1">
      <alignment horizontal="center"/>
      <protection locked="0"/>
    </xf>
    <xf numFmtId="0" fontId="0" fillId="35" borderId="12" xfId="0" applyFill="1" applyBorder="1" applyAlignment="1" applyProtection="1">
      <alignment horizontal="center"/>
      <protection locked="0"/>
    </xf>
    <xf numFmtId="9" fontId="0" fillId="35" borderId="11" xfId="0" applyNumberFormat="1" applyFill="1" applyBorder="1" applyAlignment="1" applyProtection="1">
      <alignment horizontal="center"/>
      <protection locked="0"/>
    </xf>
    <xf numFmtId="0" fontId="2" fillId="0" borderId="0" xfId="0" applyFont="1" applyFill="1" applyAlignment="1" applyProtection="1">
      <alignment/>
      <protection/>
    </xf>
    <xf numFmtId="0" fontId="2" fillId="33" borderId="0" xfId="0" applyFont="1" applyFill="1" applyAlignment="1" applyProtection="1">
      <alignment/>
      <protection/>
    </xf>
    <xf numFmtId="0" fontId="1" fillId="33" borderId="0" xfId="0" applyFont="1" applyFill="1" applyAlignment="1" applyProtection="1">
      <alignment/>
      <protection/>
    </xf>
    <xf numFmtId="0" fontId="0" fillId="33" borderId="0" xfId="0" applyFill="1" applyAlignment="1" applyProtection="1">
      <alignment/>
      <protection/>
    </xf>
    <xf numFmtId="0" fontId="1" fillId="33" borderId="0" xfId="0" applyFont="1" applyFill="1" applyAlignment="1" applyProtection="1">
      <alignment horizontal="center"/>
      <protection/>
    </xf>
    <xf numFmtId="0" fontId="0" fillId="0" borderId="0" xfId="0" applyAlignment="1" applyProtection="1">
      <alignment/>
      <protection/>
    </xf>
    <xf numFmtId="0" fontId="1" fillId="36" borderId="0" xfId="0" applyFont="1" applyFill="1" applyAlignment="1" applyProtection="1">
      <alignment/>
      <protection/>
    </xf>
    <xf numFmtId="0" fontId="4" fillId="35" borderId="0" xfId="0" applyFont="1" applyFill="1" applyAlignment="1" applyProtection="1">
      <alignment/>
      <protection/>
    </xf>
    <xf numFmtId="0" fontId="0" fillId="33" borderId="0" xfId="0" applyFont="1" applyFill="1" applyAlignment="1" applyProtection="1">
      <alignment horizontal="right"/>
      <protection/>
    </xf>
    <xf numFmtId="0" fontId="4" fillId="35" borderId="0" xfId="0" applyFont="1" applyFill="1" applyAlignment="1" applyProtection="1">
      <alignment horizontal="center"/>
      <protection/>
    </xf>
    <xf numFmtId="0" fontId="0" fillId="33" borderId="0" xfId="0" applyFill="1" applyAlignment="1" applyProtection="1">
      <alignment horizontal="left"/>
      <protection/>
    </xf>
    <xf numFmtId="0" fontId="0" fillId="33" borderId="0" xfId="0" applyFont="1" applyFill="1" applyAlignment="1" applyProtection="1">
      <alignment/>
      <protection/>
    </xf>
    <xf numFmtId="0" fontId="0" fillId="0" borderId="0" xfId="0" applyAlignment="1" applyProtection="1">
      <alignment horizontal="right"/>
      <protection/>
    </xf>
    <xf numFmtId="0" fontId="0" fillId="0" borderId="0" xfId="0" applyFont="1" applyFill="1" applyAlignment="1" applyProtection="1">
      <alignment horizontal="right"/>
      <protection/>
    </xf>
    <xf numFmtId="0" fontId="0" fillId="33" borderId="0" xfId="0" applyFill="1" applyAlignment="1" applyProtection="1">
      <alignment horizontal="center"/>
      <protection/>
    </xf>
    <xf numFmtId="0" fontId="0" fillId="33" borderId="0" xfId="0" applyFill="1" applyAlignment="1" applyProtection="1">
      <alignment horizontal="right"/>
      <protection/>
    </xf>
    <xf numFmtId="0" fontId="1" fillId="0" borderId="11" xfId="0" applyFont="1" applyBorder="1" applyAlignment="1" applyProtection="1">
      <alignment horizontal="center"/>
      <protection/>
    </xf>
    <xf numFmtId="0" fontId="12" fillId="33" borderId="0" xfId="0" applyFont="1" applyFill="1" applyAlignment="1" applyProtection="1">
      <alignment/>
      <protection/>
    </xf>
    <xf numFmtId="0" fontId="4" fillId="33" borderId="0" xfId="0" applyFont="1" applyFill="1" applyAlignment="1" applyProtection="1">
      <alignment horizontal="right"/>
      <protection/>
    </xf>
    <xf numFmtId="2" fontId="0" fillId="33" borderId="11" xfId="0" applyNumberFormat="1" applyFill="1" applyBorder="1" applyAlignment="1" applyProtection="1">
      <alignment horizontal="center"/>
      <protection/>
    </xf>
    <xf numFmtId="173" fontId="0" fillId="33" borderId="11" xfId="0" applyNumberFormat="1" applyFill="1" applyBorder="1" applyAlignment="1" applyProtection="1">
      <alignment horizontal="center"/>
      <protection/>
    </xf>
    <xf numFmtId="0" fontId="0" fillId="33" borderId="11" xfId="0" applyFill="1" applyBorder="1" applyAlignment="1" applyProtection="1">
      <alignment horizontal="center"/>
      <protection/>
    </xf>
    <xf numFmtId="1" fontId="0" fillId="33" borderId="11" xfId="0" applyNumberFormat="1" applyFill="1" applyBorder="1" applyAlignment="1" applyProtection="1">
      <alignment horizontal="center"/>
      <protection/>
    </xf>
    <xf numFmtId="0" fontId="0" fillId="33" borderId="0" xfId="0" applyFill="1" applyBorder="1" applyAlignment="1" applyProtection="1">
      <alignment/>
      <protection/>
    </xf>
    <xf numFmtId="0" fontId="0" fillId="33" borderId="0" xfId="0" applyFill="1" applyBorder="1" applyAlignment="1" applyProtection="1">
      <alignment horizontal="right"/>
      <protection/>
    </xf>
    <xf numFmtId="0" fontId="0" fillId="33" borderId="13" xfId="0" applyFill="1" applyBorder="1" applyAlignment="1" applyProtection="1">
      <alignment/>
      <protection/>
    </xf>
    <xf numFmtId="1" fontId="0" fillId="33" borderId="12" xfId="0" applyNumberFormat="1" applyFill="1" applyBorder="1" applyAlignment="1" applyProtection="1">
      <alignment horizontal="center"/>
      <protection/>
    </xf>
    <xf numFmtId="0" fontId="1" fillId="0" borderId="14" xfId="0" applyFont="1" applyBorder="1" applyAlignment="1" applyProtection="1">
      <alignment horizontal="center"/>
      <protection/>
    </xf>
    <xf numFmtId="0" fontId="1" fillId="0" borderId="15" xfId="0" applyFont="1" applyBorder="1" applyAlignment="1" applyProtection="1">
      <alignment horizontal="center"/>
      <protection/>
    </xf>
    <xf numFmtId="0" fontId="1" fillId="0" borderId="16" xfId="0" applyFont="1" applyBorder="1" applyAlignment="1" applyProtection="1">
      <alignment horizontal="center"/>
      <protection/>
    </xf>
    <xf numFmtId="0" fontId="0" fillId="0" borderId="17" xfId="0" applyBorder="1" applyAlignment="1" applyProtection="1">
      <alignment horizontal="center"/>
      <protection/>
    </xf>
    <xf numFmtId="0" fontId="0" fillId="0" borderId="11" xfId="0" applyBorder="1" applyAlignment="1" applyProtection="1">
      <alignment horizontal="center"/>
      <protection/>
    </xf>
    <xf numFmtId="184" fontId="0" fillId="0" borderId="11" xfId="0" applyNumberFormat="1" applyBorder="1" applyAlignment="1" applyProtection="1">
      <alignment horizontal="center"/>
      <protection/>
    </xf>
    <xf numFmtId="183" fontId="0" fillId="0" borderId="18" xfId="0" applyNumberFormat="1" applyBorder="1" applyAlignment="1" applyProtection="1">
      <alignment horizontal="center"/>
      <protection/>
    </xf>
    <xf numFmtId="185" fontId="0" fillId="0" borderId="11" xfId="0" applyNumberFormat="1" applyBorder="1" applyAlignment="1" applyProtection="1">
      <alignment horizontal="center"/>
      <protection/>
    </xf>
    <xf numFmtId="0" fontId="0" fillId="0" borderId="18" xfId="0" applyBorder="1" applyAlignment="1" applyProtection="1">
      <alignment horizontal="center"/>
      <protection/>
    </xf>
    <xf numFmtId="0" fontId="0" fillId="0" borderId="0" xfId="0" applyFont="1" applyAlignment="1" applyProtection="1">
      <alignment horizontal="right"/>
      <protection/>
    </xf>
    <xf numFmtId="186" fontId="0" fillId="0" borderId="11" xfId="0" applyNumberFormat="1" applyBorder="1" applyAlignment="1" applyProtection="1">
      <alignment horizontal="center"/>
      <protection/>
    </xf>
    <xf numFmtId="0" fontId="0" fillId="0" borderId="19" xfId="0" applyBorder="1" applyAlignment="1" applyProtection="1">
      <alignment horizontal="center"/>
      <protection/>
    </xf>
    <xf numFmtId="0" fontId="0" fillId="0" borderId="20" xfId="0" applyBorder="1" applyAlignment="1" applyProtection="1">
      <alignment horizontal="center"/>
      <protection/>
    </xf>
    <xf numFmtId="195" fontId="0" fillId="0" borderId="20" xfId="0" applyNumberFormat="1" applyBorder="1" applyAlignment="1" applyProtection="1">
      <alignment horizontal="center"/>
      <protection/>
    </xf>
    <xf numFmtId="0" fontId="0" fillId="0" borderId="17" xfId="0" applyFill="1" applyBorder="1" applyAlignment="1" applyProtection="1">
      <alignment horizontal="center"/>
      <protection/>
    </xf>
    <xf numFmtId="0" fontId="0" fillId="0" borderId="11" xfId="0" applyFill="1" applyBorder="1" applyAlignment="1" applyProtection="1">
      <alignment horizontal="center"/>
      <protection/>
    </xf>
    <xf numFmtId="186" fontId="0" fillId="0" borderId="11" xfId="0" applyNumberFormat="1"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18" xfId="0" applyFill="1" applyBorder="1" applyAlignment="1" applyProtection="1">
      <alignment horizontal="center"/>
      <protection/>
    </xf>
    <xf numFmtId="196" fontId="0" fillId="0" borderId="12" xfId="0" applyNumberFormat="1" applyBorder="1" applyAlignment="1" applyProtection="1">
      <alignment horizontal="center"/>
      <protection/>
    </xf>
    <xf numFmtId="0" fontId="0" fillId="0" borderId="22" xfId="0" applyNumberFormat="1" applyBorder="1" applyAlignment="1" applyProtection="1">
      <alignment horizontal="center"/>
      <protection/>
    </xf>
    <xf numFmtId="196" fontId="0" fillId="0" borderId="11" xfId="0" applyNumberFormat="1" applyBorder="1" applyAlignment="1" applyProtection="1">
      <alignment horizontal="center"/>
      <protection/>
    </xf>
    <xf numFmtId="190" fontId="0" fillId="0" borderId="11" xfId="0" applyNumberFormat="1" applyBorder="1" applyAlignment="1" applyProtection="1">
      <alignment horizontal="center"/>
      <protection/>
    </xf>
    <xf numFmtId="191" fontId="0" fillId="0" borderId="18" xfId="0" applyNumberFormat="1" applyBorder="1" applyAlignment="1" applyProtection="1">
      <alignment horizontal="center"/>
      <protection/>
    </xf>
    <xf numFmtId="189" fontId="0" fillId="0" borderId="11" xfId="0" applyNumberFormat="1" applyBorder="1" applyAlignment="1" applyProtection="1">
      <alignment horizontal="center"/>
      <protection/>
    </xf>
    <xf numFmtId="192" fontId="0" fillId="0" borderId="11" xfId="0" applyNumberFormat="1" applyBorder="1" applyAlignment="1" applyProtection="1">
      <alignment horizontal="center"/>
      <protection/>
    </xf>
    <xf numFmtId="193" fontId="0" fillId="0" borderId="18" xfId="0" applyNumberFormat="1" applyBorder="1" applyAlignment="1" applyProtection="1">
      <alignment horizontal="center"/>
      <protection/>
    </xf>
    <xf numFmtId="194" fontId="0" fillId="0" borderId="11" xfId="0" applyNumberFormat="1" applyBorder="1" applyAlignment="1" applyProtection="1">
      <alignment horizontal="center"/>
      <protection/>
    </xf>
    <xf numFmtId="176" fontId="0" fillId="33" borderId="11" xfId="0" applyNumberFormat="1" applyFill="1" applyBorder="1" applyAlignment="1" applyProtection="1">
      <alignment horizontal="center"/>
      <protection/>
    </xf>
    <xf numFmtId="198" fontId="0" fillId="0" borderId="20" xfId="0" applyNumberFormat="1" applyBorder="1" applyAlignment="1" applyProtection="1">
      <alignment horizontal="center"/>
      <protection/>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0" fillId="0" borderId="25" xfId="0" applyBorder="1" applyAlignment="1" applyProtection="1">
      <alignment horizontal="center"/>
      <protection/>
    </xf>
    <xf numFmtId="198" fontId="0" fillId="0" borderId="26" xfId="0" applyNumberFormat="1" applyBorder="1" applyAlignment="1" applyProtection="1">
      <alignment horizontal="center"/>
      <protection/>
    </xf>
    <xf numFmtId="1" fontId="0" fillId="0" borderId="11" xfId="0" applyNumberFormat="1" applyBorder="1" applyAlignment="1" applyProtection="1">
      <alignment horizontal="center"/>
      <protection/>
    </xf>
    <xf numFmtId="0" fontId="0" fillId="35" borderId="20" xfId="0" applyFont="1" applyFill="1" applyBorder="1" applyAlignment="1" applyProtection="1">
      <alignment horizontal="center"/>
      <protection locked="0"/>
    </xf>
    <xf numFmtId="177" fontId="0" fillId="33" borderId="11" xfId="0" applyNumberFormat="1" applyFill="1" applyBorder="1" applyAlignment="1" applyProtection="1">
      <alignment horizontal="center"/>
      <protection locked="0"/>
    </xf>
    <xf numFmtId="176" fontId="0" fillId="33" borderId="11" xfId="0" applyNumberFormat="1" applyFill="1" applyBorder="1" applyAlignment="1" applyProtection="1">
      <alignment horizontal="center"/>
      <protection locked="0"/>
    </xf>
    <xf numFmtId="0" fontId="0" fillId="35" borderId="11" xfId="0" applyFill="1" applyBorder="1" applyAlignment="1" applyProtection="1">
      <alignment horizontal="center"/>
      <protection/>
    </xf>
    <xf numFmtId="0" fontId="1" fillId="0" borderId="27" xfId="0" applyFont="1" applyBorder="1" applyAlignment="1" applyProtection="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8">
    <dxf>
      <font>
        <color indexed="10"/>
      </font>
    </dxf>
    <dxf>
      <fill>
        <patternFill>
          <bgColor indexed="9"/>
        </patternFill>
      </fill>
    </dxf>
    <dxf>
      <font>
        <color auto="1"/>
      </font>
      <fill>
        <patternFill>
          <bgColor indexed="23"/>
        </patternFill>
      </fill>
    </dxf>
    <dxf>
      <font>
        <color indexed="10"/>
      </font>
    </dxf>
    <dxf>
      <font>
        <strike val="0"/>
        <color auto="1"/>
      </font>
      <fill>
        <patternFill>
          <bgColor indexed="23"/>
        </patternFill>
      </fill>
    </dxf>
    <dxf>
      <font>
        <color auto="1"/>
      </font>
      <fill>
        <patternFill>
          <bgColor indexed="55"/>
        </patternFill>
      </fill>
    </dxf>
    <dxf>
      <fill>
        <patternFill>
          <bgColor indexed="55"/>
        </patternFill>
      </fill>
    </dxf>
    <dxf>
      <fill>
        <patternFill>
          <bgColor indexed="2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Junction Temp. vs VIN</a:t>
            </a:r>
          </a:p>
        </c:rich>
      </c:tx>
      <c:layout>
        <c:manualLayout>
          <c:xMode val="factor"/>
          <c:yMode val="factor"/>
          <c:x val="0.001"/>
          <c:y val="0"/>
        </c:manualLayout>
      </c:layout>
      <c:spPr>
        <a:noFill/>
        <a:ln>
          <a:noFill/>
        </a:ln>
      </c:spPr>
    </c:title>
    <c:plotArea>
      <c:layout>
        <c:manualLayout>
          <c:xMode val="edge"/>
          <c:yMode val="edge"/>
          <c:x val="0.049"/>
          <c:y val="0.12375"/>
          <c:w val="0.93825"/>
          <c:h val="0.7915"/>
        </c:manualLayout>
      </c:layout>
      <c:scatterChart>
        <c:scatterStyle val="smoothMarker"/>
        <c:varyColors val="0"/>
        <c:ser>
          <c:idx val="0"/>
          <c:order val="0"/>
          <c:tx>
            <c:v>Junction Temp. vs VIN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Dissipation'!$B$11:$L$11</c:f>
              <c:numCache/>
            </c:numRef>
          </c:xVal>
          <c:yVal>
            <c:numRef>
              <c:f>'Power Dissipation'!$B$14:$L$14</c:f>
              <c:numCache/>
            </c:numRef>
          </c:yVal>
          <c:smooth val="1"/>
        </c:ser>
        <c:axId val="65514303"/>
        <c:axId val="52757816"/>
      </c:scatterChart>
      <c:valAx>
        <c:axId val="65514303"/>
        <c:scaling>
          <c:orientation val="minMax"/>
          <c:max val="60"/>
        </c:scaling>
        <c:axPos val="b"/>
        <c:title>
          <c:tx>
            <c:rich>
              <a:bodyPr vert="horz" rot="0" anchor="ctr"/>
              <a:lstStyle/>
              <a:p>
                <a:pPr algn="ctr">
                  <a:defRPr/>
                </a:pPr>
                <a:r>
                  <a:rPr lang="en-US" cap="none" sz="975" b="1" i="0" u="none" baseline="0">
                    <a:solidFill>
                      <a:srgbClr val="000000"/>
                    </a:solidFill>
                    <a:latin typeface="Arial"/>
                    <a:ea typeface="Arial"/>
                    <a:cs typeface="Arial"/>
                  </a:rPr>
                  <a:t>VIN</a:t>
                </a:r>
              </a:p>
            </c:rich>
          </c:tx>
          <c:layout>
            <c:manualLayout>
              <c:xMode val="factor"/>
              <c:yMode val="factor"/>
              <c:x val="-0.009"/>
              <c:y val="0.00075"/>
            </c:manualLayout>
          </c:layout>
          <c:overlay val="0"/>
          <c:spPr>
            <a:noFill/>
            <a:ln>
              <a:noFill/>
            </a:ln>
          </c:spPr>
        </c:title>
        <c:majorGridlines>
          <c:spPr>
            <a:ln w="3175">
              <a:solidFill>
                <a:srgbClr val="000000"/>
              </a:solidFill>
            </a:ln>
          </c:spPr>
        </c:majorGridlines>
        <c:delete val="0"/>
        <c:numFmt formatCode="0\ &quot;V&quot;" sourceLinked="0"/>
        <c:majorTickMark val="out"/>
        <c:minorTickMark val="none"/>
        <c:tickLblPos val="nextTo"/>
        <c:spPr>
          <a:ln w="3175">
            <a:solidFill>
              <a:srgbClr val="0000FF"/>
            </a:solidFill>
          </a:ln>
        </c:spPr>
        <c:crossAx val="52757816"/>
        <c:crosses val="autoZero"/>
        <c:crossBetween val="midCat"/>
        <c:dispUnits/>
      </c:valAx>
      <c:valAx>
        <c:axId val="52757816"/>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Junction Temperature</a:t>
                </a:r>
              </a:p>
            </c:rich>
          </c:tx>
          <c:layout>
            <c:manualLayout>
              <c:xMode val="factor"/>
              <c:yMode val="factor"/>
              <c:x val="-0.013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FF"/>
            </a:solidFill>
          </a:ln>
        </c:spPr>
        <c:crossAx val="65514303"/>
        <c:crosses val="autoZero"/>
        <c:crossBetween val="midCat"/>
        <c:dispUnits/>
        <c:minorUnit val="2"/>
      </c:valAx>
      <c:spPr>
        <a:solidFill>
          <a:srgbClr val="FFFFFF"/>
        </a:solidFill>
        <a:ln w="12700">
          <a:solidFill>
            <a:srgbClr val="0000FF"/>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Error Amplifier Gain/Phase
</a:t>
            </a:r>
          </a:p>
        </c:rich>
      </c:tx>
      <c:layout>
        <c:manualLayout>
          <c:xMode val="factor"/>
          <c:yMode val="factor"/>
          <c:x val="0.00125"/>
          <c:y val="0"/>
        </c:manualLayout>
      </c:layout>
      <c:spPr>
        <a:noFill/>
        <a:ln>
          <a:noFill/>
        </a:ln>
      </c:spPr>
    </c:title>
    <c:plotArea>
      <c:layout>
        <c:manualLayout>
          <c:xMode val="edge"/>
          <c:yMode val="edge"/>
          <c:x val="0.06275"/>
          <c:y val="0.21625"/>
          <c:w val="0.8755"/>
          <c:h val="0.6965"/>
        </c:manualLayout>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'Bode Plots'!$C$2:$C$23</c:f>
            </c:numRef>
          </c:xVal>
          <c:yVal>
            <c:numRef>
              <c:f>'Bode Plots'!$G$2:$G$23</c:f>
            </c:numRef>
          </c:yVal>
          <c:smooth val="1"/>
        </c:ser>
        <c:axId val="5058297"/>
        <c:axId val="45524674"/>
      </c:scatterChart>
      <c:scatterChart>
        <c:scatterStyle val="lineMarker"/>
        <c:varyColors val="0"/>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'Bode Plots'!$C$2:$C$23</c:f>
            </c:numRef>
          </c:xVal>
          <c:yVal>
            <c:numRef>
              <c:f>'Bode Plots'!$H$2:$H$23</c:f>
            </c:numRef>
          </c:yVal>
          <c:smooth val="0"/>
        </c:ser>
        <c:axId val="7068883"/>
        <c:axId val="63619948"/>
      </c:scatterChart>
      <c:valAx>
        <c:axId val="5058297"/>
        <c:scaling>
          <c:logBase val="10"/>
          <c:orientation val="minMax"/>
          <c:max val="1000000"/>
          <c:min val="0.1"/>
        </c:scaling>
        <c:axPos val="b"/>
        <c:title>
          <c:tx>
            <c:rich>
              <a:bodyPr vert="horz" rot="0" anchor="ctr"/>
              <a:lstStyle/>
              <a:p>
                <a:pPr algn="ctr">
                  <a:defRPr/>
                </a:pPr>
                <a:r>
                  <a:rPr lang="en-US" cap="none" sz="800" b="1" i="0" u="none" baseline="0">
                    <a:solidFill>
                      <a:srgbClr val="000000"/>
                    </a:solidFill>
                    <a:latin typeface="Arial"/>
                    <a:ea typeface="Arial"/>
                    <a:cs typeface="Arial"/>
                  </a:rPr>
                  <a:t>Frequency (Hz)</a:t>
                </a:r>
              </a:p>
            </c:rich>
          </c:tx>
          <c:layout>
            <c:manualLayout>
              <c:xMode val="factor"/>
              <c:yMode val="factor"/>
              <c:x val="-0.00825"/>
              <c:y val="0.000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E+00" sourceLinked="0"/>
        <c:majorTickMark val="out"/>
        <c:minorTickMark val="none"/>
        <c:tickLblPos val="nextTo"/>
        <c:spPr>
          <a:ln w="3175">
            <a:solidFill>
              <a:srgbClr val="000000"/>
            </a:solidFill>
          </a:ln>
        </c:spPr>
        <c:crossAx val="45524674"/>
        <c:crossesAt val="-120"/>
        <c:crossBetween val="midCat"/>
        <c:dispUnits/>
      </c:valAx>
      <c:valAx>
        <c:axId val="45524674"/>
        <c:scaling>
          <c:orientation val="minMax"/>
          <c:max val="120"/>
          <c:min val="-120"/>
        </c:scaling>
        <c:axPos val="l"/>
        <c:title>
          <c:tx>
            <c:rich>
              <a:bodyPr vert="horz" rot="-5400000" anchor="ctr"/>
              <a:lstStyle/>
              <a:p>
                <a:pPr algn="ctr">
                  <a:defRPr/>
                </a:pPr>
                <a:r>
                  <a:rPr lang="en-US" cap="none" sz="800" b="1" i="0" u="none" baseline="0">
                    <a:solidFill>
                      <a:srgbClr val="000080"/>
                    </a:solidFill>
                    <a:latin typeface="Arial"/>
                    <a:ea typeface="Arial"/>
                    <a:cs typeface="Arial"/>
                  </a:rPr>
                  <a:t>Gain (dB)</a:t>
                </a:r>
              </a:p>
            </c:rich>
          </c:tx>
          <c:layout>
            <c:manualLayout>
              <c:xMode val="factor"/>
              <c:yMode val="factor"/>
              <c:x val="-0.01025"/>
              <c:y val="-0.003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058297"/>
        <c:crossesAt val="0.1"/>
        <c:crossBetween val="midCat"/>
        <c:dispUnits/>
        <c:majorUnit val="40"/>
      </c:valAx>
      <c:valAx>
        <c:axId val="7068883"/>
        <c:scaling>
          <c:logBase val="10"/>
          <c:orientation val="minMax"/>
        </c:scaling>
        <c:axPos val="b"/>
        <c:delete val="1"/>
        <c:majorTickMark val="out"/>
        <c:minorTickMark val="none"/>
        <c:tickLblPos val="nextTo"/>
        <c:crossAx val="63619948"/>
        <c:crosses val="max"/>
        <c:crossBetween val="midCat"/>
        <c:dispUnits/>
      </c:valAx>
      <c:valAx>
        <c:axId val="63619948"/>
        <c:scaling>
          <c:orientation val="minMax"/>
          <c:max val="0"/>
          <c:min val="-180"/>
        </c:scaling>
        <c:axPos val="l"/>
        <c:title>
          <c:tx>
            <c:rich>
              <a:bodyPr vert="horz" rot="-5400000" anchor="ctr"/>
              <a:lstStyle/>
              <a:p>
                <a:pPr algn="ctr">
                  <a:defRPr/>
                </a:pPr>
                <a:r>
                  <a:rPr lang="en-US" cap="none" sz="800" b="1" i="0" u="none" baseline="0">
                    <a:solidFill>
                      <a:srgbClr val="FF00FF"/>
                    </a:solidFill>
                    <a:latin typeface="Arial"/>
                    <a:ea typeface="Arial"/>
                    <a:cs typeface="Arial"/>
                  </a:rPr>
                  <a:t>Phase (deg)</a:t>
                </a:r>
              </a:p>
            </c:rich>
          </c:tx>
          <c:layout>
            <c:manualLayout>
              <c:xMode val="factor"/>
              <c:yMode val="factor"/>
              <c:x val="-0.0085"/>
              <c:y val="-0.00225"/>
            </c:manualLayout>
          </c:layout>
          <c:overlay val="0"/>
          <c:spPr>
            <a:noFill/>
            <a:ln>
              <a:noFill/>
            </a:ln>
          </c:spPr>
        </c:title>
        <c:delete val="0"/>
        <c:numFmt formatCode="0" sourceLinked="0"/>
        <c:majorTickMark val="cross"/>
        <c:minorTickMark val="none"/>
        <c:tickLblPos val="nextTo"/>
        <c:spPr>
          <a:ln w="3175">
            <a:solidFill>
              <a:srgbClr val="000000"/>
            </a:solidFill>
          </a:ln>
        </c:spPr>
        <c:crossAx val="7068883"/>
        <c:crosses val="max"/>
        <c:crossBetween val="midCat"/>
        <c:dispUnits/>
        <c:majorUnit val="30"/>
      </c:valAx>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Overall Loop Gain</a:t>
            </a:r>
          </a:p>
        </c:rich>
      </c:tx>
      <c:layout>
        <c:manualLayout>
          <c:xMode val="factor"/>
          <c:yMode val="factor"/>
          <c:x val="-0.00125"/>
          <c:y val="0.007"/>
        </c:manualLayout>
      </c:layout>
      <c:spPr>
        <a:noFill/>
        <a:ln>
          <a:noFill/>
        </a:ln>
      </c:spPr>
    </c:title>
    <c:plotArea>
      <c:layout>
        <c:manualLayout>
          <c:xMode val="edge"/>
          <c:yMode val="edge"/>
          <c:x val="0.0595"/>
          <c:y val="0.151"/>
          <c:w val="0.8825"/>
          <c:h val="0.76875"/>
        </c:manualLayout>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'Bode Plots'!$C$2:$C$23</c:f>
            </c:numRef>
          </c:xVal>
          <c:yVal>
            <c:numRef>
              <c:f>'Bode Plots'!$I$2:$I$23</c:f>
            </c:numRef>
          </c:yVal>
          <c:smooth val="1"/>
        </c:ser>
        <c:axId val="35708621"/>
        <c:axId val="52942134"/>
      </c:scatterChart>
      <c:scatterChart>
        <c:scatterStyle val="lineMarker"/>
        <c:varyColors val="0"/>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'Bode Plots'!$C$2:$C$23</c:f>
            </c:numRef>
          </c:xVal>
          <c:yVal>
            <c:numRef>
              <c:f>'Bode Plots'!$J$2:$J$23</c:f>
            </c:numRef>
          </c:yVal>
          <c:smooth val="0"/>
        </c:ser>
        <c:axId val="6717159"/>
        <c:axId val="60454432"/>
      </c:scatterChart>
      <c:valAx>
        <c:axId val="35708621"/>
        <c:scaling>
          <c:logBase val="10"/>
          <c:orientation val="minMax"/>
          <c:max val="1000000"/>
          <c:min val="1"/>
        </c:scaling>
        <c:axPos val="b"/>
        <c:title>
          <c:tx>
            <c:rich>
              <a:bodyPr vert="horz" rot="0" anchor="ctr"/>
              <a:lstStyle/>
              <a:p>
                <a:pPr algn="ctr">
                  <a:defRPr/>
                </a:pPr>
                <a:r>
                  <a:rPr lang="en-US" cap="none" sz="800" b="1" i="0" u="none" baseline="0">
                    <a:solidFill>
                      <a:srgbClr val="000000"/>
                    </a:solidFill>
                    <a:latin typeface="Arial"/>
                    <a:ea typeface="Arial"/>
                    <a:cs typeface="Arial"/>
                  </a:rPr>
                  <a:t>Frequency (Hz)</a:t>
                </a:r>
              </a:p>
            </c:rich>
          </c:tx>
          <c:layout>
            <c:manualLayout>
              <c:xMode val="factor"/>
              <c:yMode val="factor"/>
              <c:x val="-0.00675"/>
              <c:y val="0.000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E+00" sourceLinked="0"/>
        <c:majorTickMark val="out"/>
        <c:minorTickMark val="none"/>
        <c:tickLblPos val="nextTo"/>
        <c:spPr>
          <a:ln w="3175">
            <a:solidFill>
              <a:srgbClr val="000000"/>
            </a:solidFill>
          </a:ln>
        </c:spPr>
        <c:crossAx val="52942134"/>
        <c:crossesAt val="-100"/>
        <c:crossBetween val="midCat"/>
        <c:dispUnits/>
      </c:valAx>
      <c:valAx>
        <c:axId val="52942134"/>
        <c:scaling>
          <c:orientation val="minMax"/>
          <c:max val="100"/>
          <c:min val="-100"/>
        </c:scaling>
        <c:axPos val="l"/>
        <c:title>
          <c:tx>
            <c:rich>
              <a:bodyPr vert="horz" rot="-5400000" anchor="ctr"/>
              <a:lstStyle/>
              <a:p>
                <a:pPr algn="ctr">
                  <a:defRPr/>
                </a:pPr>
                <a:r>
                  <a:rPr lang="en-US" cap="none" sz="800" b="1" i="0" u="none" baseline="0">
                    <a:solidFill>
                      <a:srgbClr val="000080"/>
                    </a:solidFill>
                    <a:latin typeface="Arial"/>
                    <a:ea typeface="Arial"/>
                    <a:cs typeface="Arial"/>
                  </a:rPr>
                  <a:t>Gain (dB)</a:t>
                </a:r>
              </a:p>
            </c:rich>
          </c:tx>
          <c:layout>
            <c:manualLayout>
              <c:xMode val="factor"/>
              <c:yMode val="factor"/>
              <c:x val="-0.0095"/>
              <c:y val="-0.00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5708621"/>
        <c:crosses val="autoZero"/>
        <c:crossBetween val="midCat"/>
        <c:dispUnits/>
      </c:valAx>
      <c:valAx>
        <c:axId val="6717159"/>
        <c:scaling>
          <c:logBase val="10"/>
          <c:orientation val="minMax"/>
        </c:scaling>
        <c:axPos val="b"/>
        <c:delete val="1"/>
        <c:majorTickMark val="out"/>
        <c:minorTickMark val="none"/>
        <c:tickLblPos val="nextTo"/>
        <c:crossAx val="60454432"/>
        <c:crosses val="max"/>
        <c:crossBetween val="midCat"/>
        <c:dispUnits/>
      </c:valAx>
      <c:valAx>
        <c:axId val="60454432"/>
        <c:scaling>
          <c:orientation val="minMax"/>
          <c:max val="180"/>
          <c:min val="0"/>
        </c:scaling>
        <c:axPos val="l"/>
        <c:title>
          <c:tx>
            <c:rich>
              <a:bodyPr vert="horz" rot="-5400000" anchor="ctr"/>
              <a:lstStyle/>
              <a:p>
                <a:pPr algn="ctr">
                  <a:defRPr/>
                </a:pPr>
                <a:r>
                  <a:rPr lang="en-US" cap="none" sz="800" b="1" i="0" u="none" baseline="0">
                    <a:solidFill>
                      <a:srgbClr val="FF00FF"/>
                    </a:solidFill>
                    <a:latin typeface="Arial"/>
                    <a:ea typeface="Arial"/>
                    <a:cs typeface="Arial"/>
                  </a:rPr>
                  <a:t>Phase Margin (deg)
</a:t>
                </a:r>
              </a:p>
            </c:rich>
          </c:tx>
          <c:layout>
            <c:manualLayout>
              <c:xMode val="factor"/>
              <c:yMode val="factor"/>
              <c:x val="-0.006"/>
              <c:y val="-0.0025"/>
            </c:manualLayout>
          </c:layout>
          <c:overlay val="0"/>
          <c:spPr>
            <a:noFill/>
            <a:ln>
              <a:noFill/>
            </a:ln>
          </c:spPr>
        </c:title>
        <c:delete val="0"/>
        <c:numFmt formatCode="0" sourceLinked="0"/>
        <c:majorTickMark val="cross"/>
        <c:minorTickMark val="none"/>
        <c:tickLblPos val="nextTo"/>
        <c:spPr>
          <a:ln w="3175">
            <a:solidFill>
              <a:srgbClr val="000000"/>
            </a:solidFill>
          </a:ln>
        </c:spPr>
        <c:crossAx val="6717159"/>
        <c:crosses val="max"/>
        <c:crossBetween val="midCat"/>
        <c:dispUnits/>
        <c:majorUnit val="30"/>
      </c:valAx>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Modulator Gain/Phase </a:t>
            </a:r>
          </a:p>
        </c:rich>
      </c:tx>
      <c:layout>
        <c:manualLayout>
          <c:xMode val="factor"/>
          <c:yMode val="factor"/>
          <c:x val="0.00375"/>
          <c:y val="0"/>
        </c:manualLayout>
      </c:layout>
      <c:spPr>
        <a:noFill/>
        <a:ln>
          <a:noFill/>
        </a:ln>
      </c:spPr>
    </c:title>
    <c:plotArea>
      <c:layout>
        <c:manualLayout>
          <c:xMode val="edge"/>
          <c:yMode val="edge"/>
          <c:x val="0.06275"/>
          <c:y val="0.157"/>
          <c:w val="0.875"/>
          <c:h val="0.75675"/>
        </c:manualLayout>
      </c:layout>
      <c:scatterChart>
        <c:scatterStyle val="smoothMarker"/>
        <c:varyColors val="0"/>
        <c:ser>
          <c:idx val="0"/>
          <c:order val="0"/>
          <c:tx>
            <c:v>Gain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'Bode Plots'!$C$2:$C$23</c:f>
            </c:numRef>
          </c:xVal>
          <c:yVal>
            <c:numRef>
              <c:f>'Bode Plots'!$E$2:$E$23</c:f>
            </c:numRef>
          </c:yVal>
          <c:smooth val="1"/>
        </c:ser>
        <c:axId val="7218977"/>
        <c:axId val="64970794"/>
      </c:scatterChart>
      <c:scatterChart>
        <c:scatterStyle val="lineMarker"/>
        <c:varyColors val="0"/>
        <c:ser>
          <c:idx val="1"/>
          <c:order val="1"/>
          <c:tx>
            <c:v>Phase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'Bode Plots'!$C$2:$C$23</c:f>
            </c:numRef>
          </c:xVal>
          <c:yVal>
            <c:numRef>
              <c:f>'Bode Plots'!$F$2:$F$23</c:f>
            </c:numRef>
          </c:yVal>
          <c:smooth val="0"/>
        </c:ser>
        <c:axId val="47866235"/>
        <c:axId val="28142932"/>
      </c:scatterChart>
      <c:valAx>
        <c:axId val="7218977"/>
        <c:scaling>
          <c:logBase val="10"/>
          <c:orientation val="minMax"/>
          <c:max val="1000000"/>
          <c:min val="1"/>
        </c:scaling>
        <c:axPos val="b"/>
        <c:title>
          <c:tx>
            <c:rich>
              <a:bodyPr vert="horz" rot="0" anchor="ctr"/>
              <a:lstStyle/>
              <a:p>
                <a:pPr algn="ctr">
                  <a:defRPr/>
                </a:pPr>
                <a:r>
                  <a:rPr lang="en-US" cap="none" sz="800" b="1" i="0" u="none" baseline="0">
                    <a:solidFill>
                      <a:srgbClr val="000000"/>
                    </a:solidFill>
                    <a:latin typeface="Arial"/>
                    <a:ea typeface="Arial"/>
                    <a:cs typeface="Arial"/>
                  </a:rPr>
                  <a:t>Frequency (Hz)</a:t>
                </a:r>
              </a:p>
            </c:rich>
          </c:tx>
          <c:layout>
            <c:manualLayout>
              <c:xMode val="factor"/>
              <c:yMode val="factor"/>
              <c:x val="-0.0075"/>
              <c:y val="0.000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E+00" sourceLinked="0"/>
        <c:majorTickMark val="out"/>
        <c:minorTickMark val="none"/>
        <c:tickLblPos val="nextTo"/>
        <c:spPr>
          <a:ln w="3175">
            <a:solidFill>
              <a:srgbClr val="000000"/>
            </a:solidFill>
          </a:ln>
        </c:spPr>
        <c:crossAx val="64970794"/>
        <c:crossesAt val="-60"/>
        <c:crossBetween val="midCat"/>
        <c:dispUnits/>
      </c:valAx>
      <c:valAx>
        <c:axId val="64970794"/>
        <c:scaling>
          <c:orientation val="minMax"/>
          <c:max val="60"/>
          <c:min val="-60"/>
        </c:scaling>
        <c:axPos val="l"/>
        <c:title>
          <c:tx>
            <c:rich>
              <a:bodyPr vert="horz" rot="-5400000" anchor="ctr"/>
              <a:lstStyle/>
              <a:p>
                <a:pPr algn="ctr">
                  <a:defRPr/>
                </a:pPr>
                <a:r>
                  <a:rPr lang="en-US" cap="none" sz="800" b="1" i="0" u="none" baseline="0">
                    <a:solidFill>
                      <a:srgbClr val="000080"/>
                    </a:solidFill>
                    <a:latin typeface="Arial"/>
                    <a:ea typeface="Arial"/>
                    <a:cs typeface="Arial"/>
                  </a:rPr>
                  <a:t>Gain (dB)</a:t>
                </a:r>
              </a:p>
            </c:rich>
          </c:tx>
          <c:layout>
            <c:manualLayout>
              <c:xMode val="factor"/>
              <c:yMode val="factor"/>
              <c:x val="-0.007"/>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218977"/>
        <c:crosses val="autoZero"/>
        <c:crossBetween val="midCat"/>
        <c:dispUnits/>
      </c:valAx>
      <c:valAx>
        <c:axId val="47866235"/>
        <c:scaling>
          <c:logBase val="10"/>
          <c:orientation val="minMax"/>
        </c:scaling>
        <c:axPos val="b"/>
        <c:delete val="1"/>
        <c:majorTickMark val="out"/>
        <c:minorTickMark val="none"/>
        <c:tickLblPos val="nextTo"/>
        <c:crossAx val="28142932"/>
        <c:crosses val="max"/>
        <c:crossBetween val="midCat"/>
        <c:dispUnits/>
      </c:valAx>
      <c:valAx>
        <c:axId val="28142932"/>
        <c:scaling>
          <c:orientation val="minMax"/>
          <c:max val="0"/>
          <c:min val="-180"/>
        </c:scaling>
        <c:axPos val="l"/>
        <c:title>
          <c:tx>
            <c:rich>
              <a:bodyPr vert="horz" rot="-5400000" anchor="ctr"/>
              <a:lstStyle/>
              <a:p>
                <a:pPr algn="ctr">
                  <a:defRPr/>
                </a:pPr>
                <a:r>
                  <a:rPr lang="en-US" cap="none" sz="800" b="1" i="0" u="none" baseline="0">
                    <a:solidFill>
                      <a:srgbClr val="FF00FF"/>
                    </a:solidFill>
                    <a:latin typeface="Arial"/>
                    <a:ea typeface="Arial"/>
                    <a:cs typeface="Arial"/>
                  </a:rPr>
                  <a:t>Phase (deg)</a:t>
                </a:r>
              </a:p>
            </c:rich>
          </c:tx>
          <c:layout>
            <c:manualLayout>
              <c:xMode val="factor"/>
              <c:yMode val="factor"/>
              <c:x val="-0.0085"/>
              <c:y val="-0.002"/>
            </c:manualLayout>
          </c:layout>
          <c:overlay val="0"/>
          <c:spPr>
            <a:noFill/>
            <a:ln>
              <a:noFill/>
            </a:ln>
          </c:spPr>
        </c:title>
        <c:delete val="0"/>
        <c:numFmt formatCode="0" sourceLinked="0"/>
        <c:majorTickMark val="cross"/>
        <c:minorTickMark val="none"/>
        <c:tickLblPos val="nextTo"/>
        <c:spPr>
          <a:ln w="3175">
            <a:solidFill>
              <a:srgbClr val="000000"/>
            </a:solidFill>
          </a:ln>
        </c:spPr>
        <c:crossAx val="47866235"/>
        <c:crosses val="max"/>
        <c:crossBetween val="midCat"/>
        <c:dispUnits/>
        <c:majorUnit val="30"/>
      </c:valAx>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152400</xdr:rowOff>
    </xdr:from>
    <xdr:to>
      <xdr:col>2</xdr:col>
      <xdr:colOff>933450</xdr:colOff>
      <xdr:row>5</xdr:row>
      <xdr:rowOff>38100</xdr:rowOff>
    </xdr:to>
    <xdr:sp>
      <xdr:nvSpPr>
        <xdr:cNvPr id="1" name="Text Box 1"/>
        <xdr:cNvSpPr txBox="1">
          <a:spLocks noChangeArrowheads="1"/>
        </xdr:cNvSpPr>
      </xdr:nvSpPr>
      <xdr:spPr>
        <a:xfrm>
          <a:off x="38100" y="381000"/>
          <a:ext cx="5743575" cy="53340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000" b="1" i="0" u="none" baseline="0">
              <a:solidFill>
                <a:srgbClr val="000000"/>
              </a:solidFill>
              <a:latin typeface="Arial"/>
              <a:ea typeface="Arial"/>
              <a:cs typeface="Arial"/>
            </a:rPr>
            <a:t>Note:  The components calculated in this worksheet are reasonable starting values for a design using the LM(2)5088.  They are not optimized for any particular performance attribute.</a:t>
          </a:r>
        </a:p>
      </xdr:txBody>
    </xdr:sp>
    <xdr:clientData/>
  </xdr:twoCellAnchor>
  <xdr:twoCellAnchor editAs="oneCell">
    <xdr:from>
      <xdr:col>2</xdr:col>
      <xdr:colOff>19050</xdr:colOff>
      <xdr:row>15</xdr:row>
      <xdr:rowOff>47625</xdr:rowOff>
    </xdr:from>
    <xdr:to>
      <xdr:col>2</xdr:col>
      <xdr:colOff>942975</xdr:colOff>
      <xdr:row>16</xdr:row>
      <xdr:rowOff>28575</xdr:rowOff>
    </xdr:to>
    <xdr:pic>
      <xdr:nvPicPr>
        <xdr:cNvPr id="2" name="ComboBox1"/>
        <xdr:cNvPicPr preferRelativeResize="1">
          <a:picLocks noChangeAspect="1"/>
        </xdr:cNvPicPr>
      </xdr:nvPicPr>
      <xdr:blipFill>
        <a:blip r:embed="rId1"/>
        <a:stretch>
          <a:fillRect/>
        </a:stretch>
      </xdr:blipFill>
      <xdr:spPr>
        <a:xfrm>
          <a:off x="4867275" y="2543175"/>
          <a:ext cx="923925" cy="180975"/>
        </a:xfrm>
        <a:prstGeom prst="rect">
          <a:avLst/>
        </a:prstGeom>
        <a:noFill/>
        <a:ln w="9525" cmpd="sng">
          <a:noFill/>
        </a:ln>
      </xdr:spPr>
    </xdr:pic>
    <xdr:clientData fLocksWithSheet="0"/>
  </xdr:twoCellAnchor>
  <xdr:twoCellAnchor editAs="oneCell">
    <xdr:from>
      <xdr:col>2</xdr:col>
      <xdr:colOff>9525</xdr:colOff>
      <xdr:row>38</xdr:row>
      <xdr:rowOff>9525</xdr:rowOff>
    </xdr:from>
    <xdr:to>
      <xdr:col>3</xdr:col>
      <xdr:colOff>19050</xdr:colOff>
      <xdr:row>38</xdr:row>
      <xdr:rowOff>200025</xdr:rowOff>
    </xdr:to>
    <xdr:pic>
      <xdr:nvPicPr>
        <xdr:cNvPr id="3" name="ComboBox2"/>
        <xdr:cNvPicPr preferRelativeResize="1">
          <a:picLocks noChangeAspect="1"/>
        </xdr:cNvPicPr>
      </xdr:nvPicPr>
      <xdr:blipFill>
        <a:blip r:embed="rId2"/>
        <a:stretch>
          <a:fillRect/>
        </a:stretch>
      </xdr:blipFill>
      <xdr:spPr>
        <a:xfrm>
          <a:off x="4857750" y="6629400"/>
          <a:ext cx="952500" cy="1905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142875</xdr:rowOff>
    </xdr:from>
    <xdr:to>
      <xdr:col>8</xdr:col>
      <xdr:colOff>504825</xdr:colOff>
      <xdr:row>44</xdr:row>
      <xdr:rowOff>19050</xdr:rowOff>
    </xdr:to>
    <xdr:graphicFrame>
      <xdr:nvGraphicFramePr>
        <xdr:cNvPr id="1" name="Graphique 5"/>
        <xdr:cNvGraphicFramePr/>
      </xdr:nvGraphicFramePr>
      <xdr:xfrm>
        <a:off x="19050" y="3228975"/>
        <a:ext cx="6257925" cy="3686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1114425</xdr:colOff>
      <xdr:row>24</xdr:row>
      <xdr:rowOff>95250</xdr:rowOff>
    </xdr:from>
    <xdr:to>
      <xdr:col>11</xdr:col>
      <xdr:colOff>542925</xdr:colOff>
      <xdr:row>46</xdr:row>
      <xdr:rowOff>57150</xdr:rowOff>
    </xdr:to>
    <xdr:graphicFrame>
      <xdr:nvGraphicFramePr>
        <xdr:cNvPr id="1" name="Graphique 9"/>
        <xdr:cNvGraphicFramePr/>
      </xdr:nvGraphicFramePr>
      <xdr:xfrm>
        <a:off x="5343525" y="247650"/>
        <a:ext cx="5019675" cy="3314700"/>
      </xdr:xfrm>
      <a:graphic>
        <a:graphicData uri="http://schemas.openxmlformats.org/drawingml/2006/chart">
          <c:chart xmlns:c="http://schemas.openxmlformats.org/drawingml/2006/chart" r:id="rId1"/>
        </a:graphicData>
      </a:graphic>
    </xdr:graphicFrame>
    <xdr:clientData/>
  </xdr:twoCellAnchor>
  <xdr:twoCellAnchor>
    <xdr:from>
      <xdr:col>3</xdr:col>
      <xdr:colOff>638175</xdr:colOff>
      <xdr:row>47</xdr:row>
      <xdr:rowOff>114300</xdr:rowOff>
    </xdr:from>
    <xdr:to>
      <xdr:col>8</xdr:col>
      <xdr:colOff>657225</xdr:colOff>
      <xdr:row>71</xdr:row>
      <xdr:rowOff>19050</xdr:rowOff>
    </xdr:to>
    <xdr:graphicFrame>
      <xdr:nvGraphicFramePr>
        <xdr:cNvPr id="2" name="Graphique 10"/>
        <xdr:cNvGraphicFramePr/>
      </xdr:nvGraphicFramePr>
      <xdr:xfrm>
        <a:off x="2828925" y="3771900"/>
        <a:ext cx="5334000" cy="35623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24</xdr:row>
      <xdr:rowOff>114300</xdr:rowOff>
    </xdr:from>
    <xdr:to>
      <xdr:col>5</xdr:col>
      <xdr:colOff>819150</xdr:colOff>
      <xdr:row>46</xdr:row>
      <xdr:rowOff>95250</xdr:rowOff>
    </xdr:to>
    <xdr:graphicFrame>
      <xdr:nvGraphicFramePr>
        <xdr:cNvPr id="3" name="Graphique 12"/>
        <xdr:cNvGraphicFramePr/>
      </xdr:nvGraphicFramePr>
      <xdr:xfrm>
        <a:off x="57150" y="266700"/>
        <a:ext cx="4991100" cy="3333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U158"/>
  <sheetViews>
    <sheetView tabSelected="1" zoomScalePageLayoutView="0" workbookViewId="0" topLeftCell="A17">
      <selection activeCell="D30" sqref="D30"/>
    </sheetView>
  </sheetViews>
  <sheetFormatPr defaultColWidth="9.140625" defaultRowHeight="12.75"/>
  <cols>
    <col min="1" max="1" width="34.28125" style="27" customWidth="1"/>
    <col min="2" max="2" width="38.421875" style="27" customWidth="1"/>
    <col min="3" max="3" width="14.140625" style="27" customWidth="1"/>
    <col min="4" max="4" width="15.421875" style="27" customWidth="1"/>
    <col min="5" max="5" width="21.140625" style="27" customWidth="1"/>
    <col min="6" max="6" width="26.421875" style="27" customWidth="1"/>
    <col min="7" max="7" width="19.00390625" style="27" customWidth="1"/>
    <col min="8" max="8" width="9.8515625" style="27" customWidth="1"/>
    <col min="9" max="9" width="9.140625" style="27" customWidth="1"/>
    <col min="10" max="10" width="10.57421875" style="27" customWidth="1"/>
    <col min="11" max="11" width="13.00390625" style="27" customWidth="1"/>
    <col min="12" max="35" width="9.140625" style="27" customWidth="1"/>
    <col min="36" max="36" width="18.7109375" style="27" customWidth="1"/>
    <col min="37" max="16384" width="9.140625" style="27" customWidth="1"/>
  </cols>
  <sheetData>
    <row r="1" spans="1:22" ht="18">
      <c r="A1" s="22" t="s">
        <v>123</v>
      </c>
      <c r="B1" s="22"/>
      <c r="C1" s="23"/>
      <c r="D1" s="24" t="s">
        <v>127</v>
      </c>
      <c r="E1" s="25"/>
      <c r="F1" s="26" t="s">
        <v>68</v>
      </c>
      <c r="G1" s="24" t="s">
        <v>128</v>
      </c>
      <c r="H1" s="25"/>
      <c r="I1" s="25"/>
      <c r="J1" s="25"/>
      <c r="K1" s="25"/>
      <c r="L1" s="25"/>
      <c r="M1" s="25"/>
      <c r="N1" s="25"/>
      <c r="O1" s="25"/>
      <c r="P1" s="25"/>
      <c r="Q1" s="25"/>
      <c r="R1" s="25"/>
      <c r="S1" s="25"/>
      <c r="T1" s="25"/>
      <c r="U1" s="25"/>
      <c r="V1" s="25"/>
    </row>
    <row r="2" spans="1:47" ht="12.7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row>
    <row r="3" spans="1:47" ht="12.7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row>
    <row r="4" spans="1:47" ht="12.7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row>
    <row r="5" spans="1:47" ht="12.7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row>
    <row r="6" spans="1:47" ht="12.7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row>
    <row r="7" spans="1:47" ht="12.75">
      <c r="A7" s="28" t="s">
        <v>0</v>
      </c>
      <c r="B7" s="24"/>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row>
    <row r="8" spans="1:47" ht="12.75">
      <c r="A8" s="29" t="s">
        <v>22</v>
      </c>
      <c r="B8" s="30" t="s">
        <v>2</v>
      </c>
      <c r="C8" s="17">
        <v>33.6</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t="s">
        <v>62</v>
      </c>
      <c r="AK8" s="25"/>
      <c r="AL8" s="25"/>
      <c r="AM8" s="25"/>
      <c r="AN8" s="25"/>
      <c r="AO8" s="25"/>
      <c r="AP8" s="25"/>
      <c r="AQ8" s="25"/>
      <c r="AR8" s="25"/>
      <c r="AS8" s="25"/>
      <c r="AT8" s="25"/>
      <c r="AU8" s="25"/>
    </row>
    <row r="9" spans="1:47" ht="12.75">
      <c r="A9" s="31" t="s">
        <v>23</v>
      </c>
      <c r="B9" s="30" t="s">
        <v>3</v>
      </c>
      <c r="C9" s="17">
        <v>44.4</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32" t="s">
        <v>104</v>
      </c>
      <c r="AK9" s="25"/>
      <c r="AL9" s="25"/>
      <c r="AM9" s="25"/>
      <c r="AN9" s="25"/>
      <c r="AO9" s="25"/>
      <c r="AP9" s="25"/>
      <c r="AQ9" s="25"/>
      <c r="AR9" s="25"/>
      <c r="AS9" s="25"/>
      <c r="AT9" s="25"/>
      <c r="AU9" s="25"/>
    </row>
    <row r="10" spans="1:47" ht="12.75">
      <c r="A10" s="33"/>
      <c r="B10" s="34" t="s">
        <v>1</v>
      </c>
      <c r="C10" s="18">
        <v>24</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32" t="s">
        <v>105</v>
      </c>
      <c r="AK10" s="25"/>
      <c r="AL10" s="25"/>
      <c r="AM10" s="25"/>
      <c r="AN10" s="25"/>
      <c r="AO10" s="25"/>
      <c r="AP10" s="25"/>
      <c r="AQ10" s="25"/>
      <c r="AR10" s="25"/>
      <c r="AS10" s="25"/>
      <c r="AT10" s="25"/>
      <c r="AU10" s="25"/>
    </row>
    <row r="11" spans="1:47" ht="12.75">
      <c r="A11" s="33"/>
      <c r="B11" s="30" t="s">
        <v>102</v>
      </c>
      <c r="C11" s="17">
        <v>7</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row>
    <row r="12" spans="1:47" ht="12.75">
      <c r="A12" s="33"/>
      <c r="B12" s="30" t="s">
        <v>4</v>
      </c>
      <c r="C12" s="19">
        <v>0.3</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32" t="s">
        <v>56</v>
      </c>
      <c r="AK12" s="25"/>
      <c r="AL12" s="25"/>
      <c r="AM12" s="25"/>
      <c r="AN12" s="25"/>
      <c r="AO12" s="25"/>
      <c r="AP12" s="25"/>
      <c r="AQ12" s="25"/>
      <c r="AR12" s="25"/>
      <c r="AS12" s="25"/>
      <c r="AT12" s="25"/>
      <c r="AU12" s="25"/>
    </row>
    <row r="13" spans="1:47" ht="12.75">
      <c r="A13" s="33"/>
      <c r="B13" s="30" t="s">
        <v>7</v>
      </c>
      <c r="C13" s="18">
        <v>100</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32" t="s">
        <v>57</v>
      </c>
      <c r="AK13" s="25"/>
      <c r="AL13" s="25"/>
      <c r="AM13" s="25"/>
      <c r="AN13" s="25"/>
      <c r="AO13" s="25"/>
      <c r="AP13" s="25"/>
      <c r="AQ13" s="25"/>
      <c r="AR13" s="25"/>
      <c r="AS13" s="25"/>
      <c r="AT13" s="25"/>
      <c r="AU13" s="25"/>
    </row>
    <row r="14" spans="1:47" ht="12.75">
      <c r="A14" s="33"/>
      <c r="B14" s="35" t="s">
        <v>8</v>
      </c>
      <c r="C14" s="20">
        <v>100</v>
      </c>
      <c r="D14" s="36"/>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row>
    <row r="15" spans="1:47" ht="12.75">
      <c r="A15" s="28" t="s">
        <v>106</v>
      </c>
      <c r="B15" s="33">
        <f>IF(Vin_min&lt;Vout,"It is a Buck converter","")</f>
      </c>
      <c r="C15" s="25"/>
      <c r="D15" s="36"/>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row>
    <row r="16" spans="1:47" ht="15.75" customHeight="1">
      <c r="A16" s="33"/>
      <c r="B16" s="30" t="s">
        <v>103</v>
      </c>
      <c r="C16" s="18" t="s">
        <v>104</v>
      </c>
      <c r="D16" s="36"/>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row>
    <row r="17" spans="2:47" ht="12.75">
      <c r="B17" s="37" t="s">
        <v>119</v>
      </c>
      <c r="C17" s="38" t="str">
        <f>IF(ControllerSelect="Restart",(IF(Vin_max&gt;42,"LM5088-2","LM25088-2")),(IF(Vin_max&gt;42,"LM5088-1","LM25088-1")))</f>
        <v>LM5088-1</v>
      </c>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row>
    <row r="18" spans="1:47" ht="12.75">
      <c r="A18" s="33"/>
      <c r="B18" s="25"/>
      <c r="C18" s="33"/>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row>
    <row r="19" spans="1:47" ht="12.75">
      <c r="A19" s="28" t="s">
        <v>107</v>
      </c>
      <c r="B19" s="35" t="s">
        <v>6</v>
      </c>
      <c r="C19" s="18">
        <v>500</v>
      </c>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row>
    <row r="20" spans="1:47" ht="12.75">
      <c r="A20" s="39" t="str">
        <f>IF(Fsw&gt;MIN(Fswmax,Fswmin),"Part will enter into low dropout mode at VinMin, Decrease Fsw or, Change Vin/Vout range"," ")</f>
        <v> </v>
      </c>
      <c r="B20" s="40"/>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row>
    <row r="21" spans="1:47" ht="15.75">
      <c r="A21" s="28" t="s">
        <v>108</v>
      </c>
      <c r="B21" s="30" t="s">
        <v>97</v>
      </c>
      <c r="C21" s="41">
        <f>((0.001/Fsw)-280*0.000000001)/(152*0.000000001)</f>
        <v>11.315789473684209</v>
      </c>
      <c r="D21" s="32"/>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row>
    <row r="22" spans="1:47" ht="12.75">
      <c r="A22" s="33"/>
      <c r="B22" s="30"/>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row>
    <row r="23" spans="1:47" ht="12.75">
      <c r="A23" s="28" t="s">
        <v>109</v>
      </c>
      <c r="B23" s="30" t="s">
        <v>9</v>
      </c>
      <c r="C23" s="42">
        <f>(Vout/(I_load_ripple*Max_Ave_Iload*Fsw*10000))*(1-(Vout/Vin_max))*10000000</f>
        <v>10.501930501930502</v>
      </c>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row>
    <row r="24" spans="1:47" ht="12.75">
      <c r="A24" s="33"/>
      <c r="B24" s="3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row>
    <row r="25" spans="1:47" ht="12.75">
      <c r="A25" s="28" t="s">
        <v>110</v>
      </c>
      <c r="B25" s="30" t="s">
        <v>5</v>
      </c>
      <c r="C25" s="21">
        <v>0.08</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row>
    <row r="26" spans="1:47" ht="12.75">
      <c r="A26" s="33"/>
      <c r="B26" s="30" t="s">
        <v>124</v>
      </c>
      <c r="C26" s="43">
        <f>(1+ILoad_margin)*Max_Ave_Iload*(1+(I_load_ripple/2))</f>
        <v>8.693999999999999</v>
      </c>
      <c r="D26" s="25"/>
      <c r="E26" s="25"/>
      <c r="F26" s="26"/>
      <c r="G26" s="25"/>
      <c r="H26" s="25"/>
      <c r="I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row>
    <row r="27" spans="1:47" ht="12.75">
      <c r="A27" s="33"/>
      <c r="B27" s="30" t="s">
        <v>10</v>
      </c>
      <c r="C27" s="42">
        <f>0.12/(Ipk_load+(Vout/(L*Fsw*0.001)))*1000</f>
        <v>9.046643429210015</v>
      </c>
      <c r="D27" s="25"/>
      <c r="E27" s="25"/>
      <c r="F27" s="26"/>
      <c r="G27" s="25"/>
      <c r="H27" s="25"/>
      <c r="I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row>
    <row r="28" spans="1:47" ht="12.75">
      <c r="A28" s="33"/>
      <c r="B28" s="33"/>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row>
    <row r="29" spans="1:47" ht="15.75">
      <c r="A29" s="28" t="s">
        <v>111</v>
      </c>
      <c r="B29" s="30" t="s">
        <v>96</v>
      </c>
      <c r="C29" s="44">
        <f>5*100*L/Rs</f>
        <v>580.4324324324325</v>
      </c>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row>
    <row r="30" spans="1:47" ht="12.75">
      <c r="A30" s="33"/>
      <c r="B30" s="35" t="str">
        <f>IF(C30=""," ","Rramp(kΩ)")</f>
        <v>Rramp(kΩ)</v>
      </c>
      <c r="C30" s="44">
        <f>IF(Vout&gt;5,(VCC-Vramp)*1000/(Ios-25),"NA")</f>
        <v>75.03249649547598</v>
      </c>
      <c r="D30" s="36"/>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row>
    <row r="31" spans="1:47" ht="12.75">
      <c r="A31" s="45"/>
      <c r="B31" s="46"/>
      <c r="C31" s="47"/>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row>
    <row r="32" spans="1:47" ht="16.5" thickBot="1">
      <c r="A32" s="28" t="s">
        <v>112</v>
      </c>
      <c r="B32" s="30" t="s">
        <v>93</v>
      </c>
      <c r="C32" s="48">
        <f>(L*((Max_Ave_Iload+(I_load_ripple*Max_Ave_Iload/2))^2))/(((Op_Deviation/1000)+Vout)^2-Vout^2)</f>
        <v>141.48676743271167</v>
      </c>
      <c r="D32" s="25"/>
      <c r="E32" s="89" t="s">
        <v>53</v>
      </c>
      <c r="F32" s="89"/>
      <c r="G32" s="89"/>
      <c r="H32" s="89"/>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row>
    <row r="33" spans="1:47" ht="15.75">
      <c r="A33" s="33"/>
      <c r="B33" s="30" t="s">
        <v>94</v>
      </c>
      <c r="C33" s="18">
        <v>30</v>
      </c>
      <c r="D33" s="25"/>
      <c r="E33" s="49" t="s">
        <v>32</v>
      </c>
      <c r="F33" s="50" t="s">
        <v>33</v>
      </c>
      <c r="G33" s="50" t="s">
        <v>34</v>
      </c>
      <c r="H33" s="51" t="s">
        <v>35</v>
      </c>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row>
    <row r="34" spans="1:47" ht="14.25" customHeight="1">
      <c r="A34" s="33"/>
      <c r="B34" s="30" t="s">
        <v>99</v>
      </c>
      <c r="C34" s="44">
        <f>DeltaVout/(I_load_ripple*Max_Ave_Iload)</f>
        <v>47.61904761904762</v>
      </c>
      <c r="D34" s="25"/>
      <c r="E34" s="52" t="s">
        <v>71</v>
      </c>
      <c r="F34" s="53" t="s">
        <v>36</v>
      </c>
      <c r="G34" s="54">
        <v>5.366666666666665</v>
      </c>
      <c r="H34" s="55">
        <f>Vin_max*1.3</f>
        <v>57.72</v>
      </c>
      <c r="I34" s="25"/>
      <c r="J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row>
    <row r="35" spans="1:47" ht="15" customHeight="1">
      <c r="A35" s="33"/>
      <c r="B35" s="30" t="s">
        <v>95</v>
      </c>
      <c r="C35" s="44">
        <f>Cout1+Cout2</f>
        <v>171.48676743271167</v>
      </c>
      <c r="D35" s="25"/>
      <c r="E35" s="52" t="s">
        <v>70</v>
      </c>
      <c r="F35" s="53" t="s">
        <v>37</v>
      </c>
      <c r="G35" s="56">
        <f>Cramp</f>
        <v>580.4324324324325</v>
      </c>
      <c r="H35" s="57" t="s">
        <v>38</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row>
    <row r="36" spans="1:47" ht="18.75">
      <c r="A36" s="25"/>
      <c r="B36" s="58"/>
      <c r="C36" s="25"/>
      <c r="D36" s="25"/>
      <c r="E36" s="52" t="s">
        <v>72</v>
      </c>
      <c r="F36" s="53" t="s">
        <v>39</v>
      </c>
      <c r="G36" s="59">
        <f>Css</f>
        <v>0.016666666666666666</v>
      </c>
      <c r="H36" s="57" t="s">
        <v>38</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row>
    <row r="37" spans="1:47" ht="15.75">
      <c r="A37" s="28" t="s">
        <v>113</v>
      </c>
      <c r="B37" s="30" t="s">
        <v>101</v>
      </c>
      <c r="C37" s="42">
        <f>Max_Ave_Iload/2/Fsw*1000</f>
        <v>7</v>
      </c>
      <c r="D37" s="25"/>
      <c r="E37" s="52" t="s">
        <v>73</v>
      </c>
      <c r="F37" s="53" t="s">
        <v>40</v>
      </c>
      <c r="G37" s="54">
        <f>Cout1</f>
        <v>141.48676743271167</v>
      </c>
      <c r="H37" s="55">
        <f>Vout*1.1</f>
        <v>26.400000000000002</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row>
    <row r="38" spans="1:47" ht="15.75">
      <c r="A38" s="33"/>
      <c r="B38" s="30"/>
      <c r="C38" s="25"/>
      <c r="D38" s="25"/>
      <c r="E38" s="52" t="s">
        <v>74</v>
      </c>
      <c r="F38" s="53" t="s">
        <v>40</v>
      </c>
      <c r="G38" s="54">
        <f>Cout2</f>
        <v>30</v>
      </c>
      <c r="H38" s="55">
        <f>Vout*1.1</f>
        <v>26.400000000000002</v>
      </c>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row>
    <row r="39" spans="1:47" ht="15.75">
      <c r="A39" s="28" t="s">
        <v>114</v>
      </c>
      <c r="B39" s="30" t="s">
        <v>120</v>
      </c>
      <c r="C39" s="85" t="s">
        <v>57</v>
      </c>
      <c r="D39" s="25"/>
      <c r="E39" s="52" t="s">
        <v>75</v>
      </c>
      <c r="F39" s="53" t="s">
        <v>42</v>
      </c>
      <c r="G39" s="56">
        <f>Ccomp</f>
        <v>247.72961494467188</v>
      </c>
      <c r="H39" s="55">
        <f>Vout*1.1</f>
        <v>26.400000000000002</v>
      </c>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row>
    <row r="40" spans="1:47" ht="15.75">
      <c r="A40" s="33"/>
      <c r="B40" s="30">
        <f>IF(C39="YES","UV Voltage (V)","")</f>
      </c>
      <c r="C40" s="88" t="s">
        <v>129</v>
      </c>
      <c r="D40" s="25"/>
      <c r="E40" s="52" t="s">
        <v>76</v>
      </c>
      <c r="F40" s="53" t="s">
        <v>42</v>
      </c>
      <c r="G40" s="56">
        <f>Chf</f>
        <v>2.477296149446719</v>
      </c>
      <c r="H40" s="55">
        <f>Vout*1.1</f>
        <v>26.400000000000002</v>
      </c>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row>
    <row r="41" spans="1:47" ht="15.75">
      <c r="A41" s="33"/>
      <c r="B41" s="30">
        <f>IF(C39="YES","Ruv2(kΩ)","")</f>
      </c>
      <c r="C41" s="88" t="s">
        <v>129</v>
      </c>
      <c r="D41" s="25"/>
      <c r="E41" s="52" t="s">
        <v>77</v>
      </c>
      <c r="F41" s="53" t="s">
        <v>43</v>
      </c>
      <c r="G41" s="59">
        <f>CVCC</f>
        <v>0.3246753246753247</v>
      </c>
      <c r="H41" s="57" t="s">
        <v>41</v>
      </c>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row>
    <row r="42" spans="1:47" ht="15.75">
      <c r="A42" s="33"/>
      <c r="B42" s="30">
        <f>IF(C39="YES","Ruv1(kΩ)","")</f>
      </c>
      <c r="C42" s="41" t="s">
        <v>129</v>
      </c>
      <c r="D42" s="25"/>
      <c r="E42" s="60" t="s">
        <v>78</v>
      </c>
      <c r="F42" s="61" t="s">
        <v>61</v>
      </c>
      <c r="G42" s="62">
        <f>Cboot</f>
        <v>32.467532467532465</v>
      </c>
      <c r="H42" s="57" t="s">
        <v>41</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row>
    <row r="43" spans="1:47" ht="15.75">
      <c r="A43" s="33"/>
      <c r="B43" s="30"/>
      <c r="C43" s="25"/>
      <c r="D43" s="25"/>
      <c r="E43" s="63" t="s">
        <v>121</v>
      </c>
      <c r="F43" s="64" t="s">
        <v>54</v>
      </c>
      <c r="G43" s="65">
        <f>Cdither</f>
        <v>0.041666666666666664</v>
      </c>
      <c r="H43" s="57" t="str">
        <f>IF(OR(Controller="LM5088-1",Controller="LM25088-1"),"5V","NA")</f>
        <v>5V</v>
      </c>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row>
    <row r="44" spans="1:47" ht="15.75">
      <c r="A44" s="28" t="s">
        <v>115</v>
      </c>
      <c r="B44" s="30" t="s">
        <v>91</v>
      </c>
      <c r="C44" s="18">
        <v>1.69</v>
      </c>
      <c r="D44" s="25"/>
      <c r="E44" s="66" t="s">
        <v>122</v>
      </c>
      <c r="F44" s="67" t="s">
        <v>55</v>
      </c>
      <c r="G44" s="65" t="str">
        <f>Crestart</f>
        <v>NA</v>
      </c>
      <c r="H44" s="68" t="str">
        <f>IF(OR(Controller="LM5088-2",Controller="LM25088-2"),"5V","NA")</f>
        <v>NA</v>
      </c>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row>
    <row r="45" spans="1:47" ht="15.75">
      <c r="A45" s="33"/>
      <c r="B45" s="30" t="s">
        <v>92</v>
      </c>
      <c r="C45" s="41">
        <f>Rfb1*((Vout/1.205)-1)</f>
        <v>31.9697510373444</v>
      </c>
      <c r="D45" s="25"/>
      <c r="E45" s="52" t="s">
        <v>79</v>
      </c>
      <c r="F45" s="53" t="s">
        <v>44</v>
      </c>
      <c r="G45" s="69">
        <f>Rfb1</f>
        <v>1.69</v>
      </c>
      <c r="H45" s="70" t="str">
        <f>IF((Vref*Vref/(Rfb1*1000))&lt;0.0625,"1/16 W","1/8 W")</f>
        <v>1/16 W</v>
      </c>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row>
    <row r="46" spans="1:47" ht="15.75">
      <c r="A46" s="33"/>
      <c r="B46" s="30"/>
      <c r="C46" s="25"/>
      <c r="D46" s="25"/>
      <c r="E46" s="52" t="s">
        <v>80</v>
      </c>
      <c r="F46" s="53" t="s">
        <v>44</v>
      </c>
      <c r="G46" s="71">
        <f>Rfb2</f>
        <v>31.9697510373444</v>
      </c>
      <c r="H46" s="57" t="str">
        <f>IF((Rfb2*(1/1000)*(Vref/Rfb1)^2)&lt;0.0625,"1/16 W","1/8 W")</f>
        <v>1/16 W</v>
      </c>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row>
    <row r="47" spans="1:47" ht="15.75">
      <c r="A47" s="28" t="s">
        <v>116</v>
      </c>
      <c r="B47" s="30" t="s">
        <v>11</v>
      </c>
      <c r="C47" s="18">
        <v>50</v>
      </c>
      <c r="D47" s="25"/>
      <c r="E47" s="52" t="s">
        <v>81</v>
      </c>
      <c r="F47" s="53" t="s">
        <v>45</v>
      </c>
      <c r="G47" s="71" t="str">
        <f>IF(UV_Selector="Yes",Ruv1,"-")</f>
        <v>-</v>
      </c>
      <c r="H47" s="57" t="str">
        <f>IF(UV_Selector="YES",(IF((Vin_max*Ruv1/(Ruv2+Ruv1))^2/(Ruv1*1000)&gt;0.0625,"1/8W","1/16W")),"-")</f>
        <v>-</v>
      </c>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row>
    <row r="48" spans="1:47" ht="15.75">
      <c r="A48" s="25"/>
      <c r="B48" s="30" t="s">
        <v>100</v>
      </c>
      <c r="C48" s="42">
        <f>(Rfb2*6.28*Fbw*Cout1)*(10*Rs*0.000001)</f>
        <v>128.49084928940863</v>
      </c>
      <c r="D48" s="25"/>
      <c r="E48" s="52" t="s">
        <v>82</v>
      </c>
      <c r="F48" s="53" t="s">
        <v>45</v>
      </c>
      <c r="G48" s="71" t="str">
        <f>IF(UV_Selector="Yes",Ruv2,"-")</f>
        <v>-</v>
      </c>
      <c r="H48" s="57" t="str">
        <f>IF(UV_Selector="YES",(IF((Vin_max*Ruv2/(Ruv2+Ruv1))^2/(Ruv2*1000)&gt;0.0625,"1/8W","1/16W")),"-")</f>
        <v>-</v>
      </c>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row>
    <row r="49" spans="1:47" ht="15.75">
      <c r="A49" s="25"/>
      <c r="B49" s="58" t="s">
        <v>90</v>
      </c>
      <c r="C49" s="44">
        <f>10*1000000/(2*PI()*Fbw*Rcomp)</f>
        <v>247.72961494467188</v>
      </c>
      <c r="D49" s="25"/>
      <c r="E49" s="52" t="s">
        <v>46</v>
      </c>
      <c r="F49" s="53" t="s">
        <v>47</v>
      </c>
      <c r="G49" s="72">
        <f>Rs</f>
        <v>9.046643429210015</v>
      </c>
      <c r="H49" s="73" t="str">
        <f>IF(Iload*Iload*Rs*0.001&lt;0.25,"1/4 W",IF(Iload*Iload*Rs*0.001&lt;0.5,"1/2 W",IF(Iload*Iload*Rs*0.001&lt;1,"1 W")))</f>
        <v>1/4 W</v>
      </c>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row>
    <row r="50" spans="1:47" ht="15.75">
      <c r="A50" s="25"/>
      <c r="B50" s="30" t="s">
        <v>89</v>
      </c>
      <c r="C50" s="42" t="str">
        <f>IF(Chf&lt;47,"47",Chf)</f>
        <v>47</v>
      </c>
      <c r="D50" s="25"/>
      <c r="E50" s="52" t="s">
        <v>83</v>
      </c>
      <c r="F50" s="53" t="s">
        <v>48</v>
      </c>
      <c r="G50" s="74">
        <f>RT</f>
        <v>11.315789473684209</v>
      </c>
      <c r="H50" s="57" t="str">
        <f>IF((Vref*Vref/RT)&lt;0.0625,"1/16 W","1/8 W")</f>
        <v>1/8 W</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row>
    <row r="51" spans="2:47" ht="12.75">
      <c r="B51" s="30"/>
      <c r="C51" s="25"/>
      <c r="D51" s="25"/>
      <c r="E51" s="52" t="s">
        <v>49</v>
      </c>
      <c r="F51" s="53" t="s">
        <v>50</v>
      </c>
      <c r="G51" s="75">
        <f>L</f>
        <v>10.501930501930502</v>
      </c>
      <c r="H51" s="76">
        <f>Ipk_load*1.1</f>
        <v>9.5634</v>
      </c>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row>
    <row r="52" spans="1:47" ht="15.75">
      <c r="A52" s="28" t="s">
        <v>117</v>
      </c>
      <c r="B52" s="30" t="s">
        <v>12</v>
      </c>
      <c r="C52" s="18">
        <v>2</v>
      </c>
      <c r="D52" s="25"/>
      <c r="E52" s="52" t="s">
        <v>84</v>
      </c>
      <c r="F52" s="53" t="s">
        <v>98</v>
      </c>
      <c r="G52" s="77">
        <f>IF(Vout&gt;5,(VCC-Vramp)*1000/(Ios-25),"NA")</f>
        <v>75.03249649547598</v>
      </c>
      <c r="H52" s="57" t="str">
        <f>IF(G52="-","-","1/16 W")</f>
        <v>1/16 W</v>
      </c>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row>
    <row r="53" spans="1:47" ht="15.75">
      <c r="A53" s="33"/>
      <c r="B53" s="30" t="s">
        <v>13</v>
      </c>
      <c r="C53" s="78">
        <f>(10*tss*0.001)/1.2</f>
        <v>0.016666666666666666</v>
      </c>
      <c r="D53" s="25"/>
      <c r="E53" s="60" t="s">
        <v>85</v>
      </c>
      <c r="F53" s="61" t="s">
        <v>51</v>
      </c>
      <c r="G53" s="79">
        <f>Rcomp</f>
        <v>128.49084928940863</v>
      </c>
      <c r="H53" s="80" t="s">
        <v>52</v>
      </c>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row>
    <row r="54" spans="1:47" ht="12.75">
      <c r="A54" s="33"/>
      <c r="B54" s="30"/>
      <c r="C54" s="25"/>
      <c r="D54" s="25"/>
      <c r="E54" s="60" t="s">
        <v>63</v>
      </c>
      <c r="F54" s="61" t="s">
        <v>64</v>
      </c>
      <c r="G54" s="79" t="s">
        <v>65</v>
      </c>
      <c r="H54" s="55">
        <f>1.1*Vin_max</f>
        <v>48.84</v>
      </c>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row>
    <row r="55" spans="1:47" ht="16.5" thickBot="1">
      <c r="A55" s="28" t="s">
        <v>118</v>
      </c>
      <c r="B55" s="30" t="s">
        <v>88</v>
      </c>
      <c r="C55" s="18">
        <v>10</v>
      </c>
      <c r="D55" s="25"/>
      <c r="E55" s="81" t="s">
        <v>66</v>
      </c>
      <c r="F55" s="82" t="s">
        <v>67</v>
      </c>
      <c r="G55" s="83" t="s">
        <v>65</v>
      </c>
      <c r="H55" s="55">
        <f>1.1*Vin_max</f>
        <v>48.84</v>
      </c>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row>
    <row r="56" spans="1:47" ht="15.75">
      <c r="A56" s="33"/>
      <c r="B56" s="30" t="s">
        <v>86</v>
      </c>
      <c r="C56" s="44">
        <f>Qg/(0.04*7.7)</f>
        <v>32.467532467532465</v>
      </c>
      <c r="D56" s="4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row>
    <row r="57" spans="1:47" ht="15.75">
      <c r="A57" s="33"/>
      <c r="B57" s="30" t="s">
        <v>87</v>
      </c>
      <c r="C57" s="42">
        <f>IF(CVCC&lt;0.1,"0.1",CVCC)</f>
        <v>0.3246753246753247</v>
      </c>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row>
    <row r="58" spans="1:47" ht="12.75">
      <c r="A58" s="33"/>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row>
    <row r="59" spans="1:47" ht="12.75">
      <c r="A59" s="28" t="s">
        <v>125</v>
      </c>
      <c r="B59" s="30" t="str">
        <f>IF(OR(Controller="LM5088-1",Controller="LM25088-1"),"Cdither(uF)","NA")</f>
        <v>Cdither(uF)</v>
      </c>
      <c r="C59" s="86">
        <f>IF(ControllerSelect="Dither",(2500/(Fsw*1000*0.12)),"NA")</f>
        <v>0.041666666666666664</v>
      </c>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row>
    <row r="60" spans="1:47" ht="12.75">
      <c r="A60" s="25"/>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row>
    <row r="61" spans="1:47" ht="12.75">
      <c r="A61" s="28" t="s">
        <v>126</v>
      </c>
      <c r="B61" s="30" t="str">
        <f>IF(OR(Controller="LM5088-2",Controller="LM25088-2"),"Allowable current limit overload time (ms)","NA")</f>
        <v>NA</v>
      </c>
      <c r="C61" s="88" t="s">
        <v>129</v>
      </c>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row>
    <row r="62" spans="1:47" ht="12.75">
      <c r="A62" s="25"/>
      <c r="B62" s="34" t="str">
        <f>IF(OR(Controller="LM5088-2",Controller="LM25088-2"),"Hiccup Sleep Time (ms)","NA")</f>
        <v>NA</v>
      </c>
      <c r="C62" s="84" t="str">
        <f>IF(ControllerSelect="Restart",(Crestart*1000)/(1.2*1),"NA")</f>
        <v>NA</v>
      </c>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row>
    <row r="63" spans="1:47" ht="12.75">
      <c r="A63" s="25"/>
      <c r="B63" s="30" t="str">
        <f>IF(OR(Controller="LM5088-2",Controller="LM25088-2"),"Cres(uF)","NA")</f>
        <v>NA</v>
      </c>
      <c r="C63" s="87" t="str">
        <f>IF(ControllerSelect="Restart",(50*n)/(1.2*1000),"NA")</f>
        <v>NA</v>
      </c>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row>
    <row r="64" spans="1:47" ht="12.7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row>
    <row r="65" spans="1:47" ht="12.7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row>
    <row r="66" spans="1:47" ht="12.7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row>
    <row r="67" spans="1:47" ht="12">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row>
    <row r="68" spans="1:47" ht="12">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row>
    <row r="69" spans="1:47" ht="12">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row>
    <row r="70" spans="1:47" ht="12">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row>
    <row r="71" spans="1:47" ht="12">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row>
    <row r="72" spans="1:47" ht="12">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row>
    <row r="73" spans="1:47" ht="12">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row>
    <row r="74" spans="1:47" ht="12">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row>
    <row r="75" spans="1:47" ht="12">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row>
    <row r="76" spans="1:47" ht="12">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row>
    <row r="77" spans="1:47" ht="12">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row>
    <row r="78" spans="1:47" ht="12">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row>
    <row r="79" spans="1:47" ht="12">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row>
    <row r="80" spans="1:47" ht="12">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row>
    <row r="81" spans="1:47" ht="12">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row>
    <row r="82" spans="1:47" ht="12">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row>
    <row r="83" spans="1:47" ht="12">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row>
    <row r="84" spans="1:47" ht="12">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row>
    <row r="85" spans="1:47" ht="12">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row>
    <row r="86" spans="1:47" ht="12">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row>
    <row r="87" spans="1:47" ht="12">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row>
    <row r="88" spans="1:47" ht="12">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row>
    <row r="89" spans="1:47" ht="12">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row>
    <row r="90" spans="1:47" ht="12">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row>
    <row r="91" spans="1:47" ht="12">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row>
    <row r="92" spans="1:47" ht="12">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row>
    <row r="93" spans="1:47" ht="12">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row>
    <row r="94" spans="1:47" ht="12">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row>
    <row r="95" spans="1:47" ht="12">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row>
    <row r="96" spans="1:47" ht="12">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row>
    <row r="97" spans="1:47" ht="12">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row>
    <row r="98" spans="1:47" ht="12">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row>
    <row r="99" spans="1:47" ht="12">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row>
    <row r="100" spans="1:47" ht="12">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row>
    <row r="101" spans="1:47" ht="12">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row>
    <row r="102" spans="1:47" ht="12">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row>
    <row r="103" spans="1:47" ht="12">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row>
    <row r="104" spans="1:47" ht="12">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row>
    <row r="105" spans="1:47" ht="12">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row>
    <row r="106" spans="1:47" ht="12">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row>
    <row r="107" spans="1:47" ht="12">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row>
    <row r="108" spans="1:47" ht="12">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row>
    <row r="109" spans="1:47" ht="12">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row>
    <row r="110" spans="1:47" ht="12">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row>
    <row r="111" spans="1:47" ht="12">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row>
    <row r="112" spans="1:47" ht="12">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row>
    <row r="113" spans="1:47" ht="12">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row>
    <row r="114" spans="1:47" ht="12">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row>
    <row r="115" spans="1:47" ht="12">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row>
    <row r="116" spans="1:47" ht="12">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row>
    <row r="117" spans="1:47" ht="12">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row>
    <row r="118" spans="1:47" ht="12">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row>
    <row r="119" spans="1:47" ht="12">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row>
    <row r="120" spans="1:47" ht="12">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row>
    <row r="121" spans="1:47" ht="12">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row>
    <row r="122" spans="1:47" ht="12">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row>
    <row r="123" spans="1:47" ht="12">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row>
    <row r="124" spans="1:47" ht="12">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row>
    <row r="125" spans="1:47" ht="12">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row>
    <row r="126" spans="1:47" ht="12">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row>
    <row r="127" spans="1:47" ht="12">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row>
    <row r="128" spans="1:47" ht="12">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row>
    <row r="129" spans="1:47" ht="12">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row>
    <row r="130" spans="1:22" ht="12">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2">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2">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2">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2">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2">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2">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2">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2">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2">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2">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2">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2">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2">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2">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2">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2">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2">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2">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2">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2">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2">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2">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2">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2">
      <c r="A154" s="25"/>
      <c r="B154" s="25"/>
      <c r="C154" s="25"/>
      <c r="D154" s="25"/>
      <c r="E154" s="25"/>
      <c r="F154" s="25"/>
      <c r="I154" s="25"/>
      <c r="J154" s="25"/>
      <c r="K154" s="25"/>
      <c r="L154" s="25"/>
      <c r="M154" s="25"/>
      <c r="N154" s="25"/>
      <c r="O154" s="25"/>
      <c r="P154" s="25"/>
      <c r="Q154" s="25"/>
      <c r="R154" s="25"/>
      <c r="S154" s="25"/>
      <c r="T154" s="25"/>
      <c r="U154" s="25"/>
      <c r="V154" s="25"/>
    </row>
    <row r="155" spans="1:22" ht="12">
      <c r="A155" s="25"/>
      <c r="B155" s="25"/>
      <c r="C155" s="25"/>
      <c r="D155" s="25"/>
      <c r="I155" s="25"/>
      <c r="J155" s="25"/>
      <c r="K155" s="25"/>
      <c r="L155" s="25"/>
      <c r="M155" s="25"/>
      <c r="N155" s="25"/>
      <c r="O155" s="25"/>
      <c r="P155" s="25"/>
      <c r="Q155" s="25"/>
      <c r="R155" s="25"/>
      <c r="S155" s="25"/>
      <c r="T155" s="25"/>
      <c r="U155" s="25"/>
      <c r="V155" s="25"/>
    </row>
    <row r="156" spans="1:22" ht="12">
      <c r="A156" s="25"/>
      <c r="B156" s="25"/>
      <c r="C156" s="25"/>
      <c r="D156" s="25"/>
      <c r="I156" s="25"/>
      <c r="J156" s="25"/>
      <c r="K156" s="25"/>
      <c r="L156" s="25"/>
      <c r="M156" s="25"/>
      <c r="N156" s="25"/>
      <c r="O156" s="25"/>
      <c r="P156" s="25"/>
      <c r="Q156" s="25"/>
      <c r="R156" s="25"/>
      <c r="S156" s="25"/>
      <c r="T156" s="25"/>
      <c r="U156" s="25"/>
      <c r="V156" s="25"/>
    </row>
    <row r="157" spans="1:22" ht="12">
      <c r="A157" s="25"/>
      <c r="B157" s="25"/>
      <c r="C157" s="25"/>
      <c r="D157" s="25"/>
      <c r="I157" s="25"/>
      <c r="J157" s="25"/>
      <c r="K157" s="25"/>
      <c r="L157" s="25"/>
      <c r="M157" s="25"/>
      <c r="N157" s="25"/>
      <c r="O157" s="25"/>
      <c r="P157" s="25"/>
      <c r="Q157" s="25"/>
      <c r="R157" s="25"/>
      <c r="S157" s="25"/>
      <c r="T157" s="25"/>
      <c r="U157" s="25"/>
      <c r="V157" s="25"/>
    </row>
    <row r="158" spans="4:22" ht="12">
      <c r="D158" s="25"/>
      <c r="I158" s="25"/>
      <c r="J158" s="25"/>
      <c r="K158" s="25"/>
      <c r="L158" s="25"/>
      <c r="M158" s="25"/>
      <c r="N158" s="25"/>
      <c r="O158" s="25"/>
      <c r="P158" s="25"/>
      <c r="Q158" s="25"/>
      <c r="R158" s="25"/>
      <c r="S158" s="25"/>
      <c r="T158" s="25"/>
      <c r="U158" s="25"/>
      <c r="V158" s="25"/>
    </row>
  </sheetData>
  <sheetProtection sheet="1" objects="1" scenarios="1"/>
  <mergeCells count="1">
    <mergeCell ref="E32:H32"/>
  </mergeCells>
  <conditionalFormatting sqref="C63">
    <cfRule type="cellIs" priority="1" dxfId="2" operator="equal" stopIfTrue="1">
      <formula>"NA"</formula>
    </cfRule>
  </conditionalFormatting>
  <conditionalFormatting sqref="C42">
    <cfRule type="cellIs" priority="2" dxfId="5" operator="equal" stopIfTrue="1">
      <formula>"NA"</formula>
    </cfRule>
  </conditionalFormatting>
  <conditionalFormatting sqref="C40:C41">
    <cfRule type="cellIs" priority="3" dxfId="5" operator="equal" stopIfTrue="1">
      <formula>"NA"</formula>
    </cfRule>
  </conditionalFormatting>
  <conditionalFormatting sqref="C59">
    <cfRule type="cellIs" priority="4" dxfId="2" operator="equal" stopIfTrue="1">
      <formula>"NA"</formula>
    </cfRule>
  </conditionalFormatting>
  <conditionalFormatting sqref="B15 A18 C18">
    <cfRule type="expression" priority="5" dxfId="0" stopIfTrue="1">
      <formula>$B$15</formula>
    </cfRule>
  </conditionalFormatting>
  <conditionalFormatting sqref="C61">
    <cfRule type="cellIs" priority="6" dxfId="2" operator="equal" stopIfTrue="1">
      <formula>"NA"</formula>
    </cfRule>
  </conditionalFormatting>
  <conditionalFormatting sqref="B59 B61 B63">
    <cfRule type="cellIs" priority="7" dxfId="1" operator="equal" stopIfTrue="1">
      <formula>"NA"</formula>
    </cfRule>
  </conditionalFormatting>
  <dataValidations count="9">
    <dataValidation type="decimal" operator="lessThan" allowBlank="1" showErrorMessage="1" error="It is a Buck Converter. Vout&lt;Vin" sqref="C10">
      <formula1>C8+0.01</formula1>
    </dataValidation>
    <dataValidation errorStyle="warning" type="decimal" operator="lessThan" showErrorMessage="1" error="The Bandwidth is greater than Fsw/15. High bandwidth is suggested only for advanced users." sqref="C47">
      <formula1>C19/7</formula1>
    </dataValidation>
    <dataValidation type="decimal" operator="greaterThanOrEqual" allowBlank="1" showErrorMessage="1" error="Make Sure that Vin(max) is greater than or equat to Vin(min)" sqref="C9">
      <formula1>C8</formula1>
    </dataValidation>
    <dataValidation type="decimal" operator="greaterThan" allowBlank="1" showInputMessage="1" showErrorMessage="1" errorTitle="Minimum Value is 0.022uF" sqref="C63">
      <formula1>0.022</formula1>
    </dataValidation>
    <dataValidation showInputMessage="1" showErrorMessage="1" sqref="C39 C16"/>
    <dataValidation type="decimal" allowBlank="1" showErrorMessage="1" error="It is suggested to use a Cboot value between 0.022uF and 10uF" sqref="C56">
      <formula1>20</formula1>
      <formula2>1000</formula2>
    </dataValidation>
    <dataValidation type="decimal" allowBlank="1" showErrorMessage="1" error="Valid Frequency Range for LM5088-1 and LM5088-2 is between 125kHz or 1MHz" sqref="C19">
      <formula1>125</formula1>
      <formula2>1000</formula2>
    </dataValidation>
    <dataValidation type="decimal" showErrorMessage="1" error="Entered input voltage beyond the range of LM5088 (Valid Range=4.5V to 75V)" sqref="C8">
      <formula1>4.5</formula1>
      <formula2>75</formula2>
    </dataValidation>
    <dataValidation type="custom" allowBlank="1" showInputMessage="1" showErrorMessage="1" errorTitle="It is a Buck Converter" sqref="B15">
      <formula1>"It is a Buck converter"</formula1>
    </dataValidation>
  </dataValidations>
  <printOptions horizontalCentered="1" verticalCentered="1"/>
  <pageMargins left="0.5" right="0.5" top="0.984251969" bottom="0.984251969" header="0.5" footer="0.5"/>
  <pageSetup fitToHeight="1" fitToWidth="1" horizontalDpi="600" verticalDpi="600" orientation="landscape" scale="51" r:id="rId5"/>
  <ignoredErrors>
    <ignoredError sqref="H54" formula="1"/>
  </ignoredErrors>
  <drawing r:id="rId4"/>
  <legacyDrawing r:id="rId3"/>
  <oleObjects>
    <oleObject progId="Visio.Drawing.11" shapeId="1852208" r:id="rId2"/>
  </oleObjects>
</worksheet>
</file>

<file path=xl/worksheets/sheet2.xml><?xml version="1.0" encoding="utf-8"?>
<worksheet xmlns="http://schemas.openxmlformats.org/spreadsheetml/2006/main" xmlns:r="http://schemas.openxmlformats.org/officeDocument/2006/relationships">
  <sheetPr codeName="Sheet2"/>
  <dimension ref="A1:AO183"/>
  <sheetViews>
    <sheetView zoomScalePageLayoutView="0" workbookViewId="0" topLeftCell="A1">
      <selection activeCell="A5" sqref="A5"/>
    </sheetView>
  </sheetViews>
  <sheetFormatPr defaultColWidth="11.421875" defaultRowHeight="12.75"/>
  <cols>
    <col min="1" max="1" width="19.7109375" style="0" customWidth="1"/>
    <col min="2" max="2" width="14.57421875" style="0" customWidth="1"/>
    <col min="3" max="11" width="8.7109375" style="0" customWidth="1"/>
    <col min="12" max="12" width="9.7109375" style="0" customWidth="1"/>
    <col min="13" max="13" width="7.421875" style="0" customWidth="1"/>
    <col min="14" max="16384" width="8.7109375" style="0" customWidth="1"/>
  </cols>
  <sheetData>
    <row r="1" spans="1:20" ht="12.75">
      <c r="A1" s="1"/>
      <c r="B1" s="1"/>
      <c r="C1" s="1"/>
      <c r="D1" s="1"/>
      <c r="E1" s="1"/>
      <c r="F1" s="1"/>
      <c r="G1" s="1"/>
      <c r="H1" s="1"/>
      <c r="I1" s="1"/>
      <c r="J1" s="1"/>
      <c r="K1" s="1"/>
      <c r="L1" s="1"/>
      <c r="M1" s="1"/>
      <c r="N1" s="1"/>
      <c r="O1" s="1"/>
      <c r="P1" s="1"/>
      <c r="Q1" s="1"/>
      <c r="R1" s="1"/>
      <c r="S1" s="1"/>
      <c r="T1" s="1"/>
    </row>
    <row r="2" spans="1:28" ht="12.75">
      <c r="A2" s="1"/>
      <c r="B2" s="1"/>
      <c r="C2" s="1"/>
      <c r="D2" s="1"/>
      <c r="E2" s="1"/>
      <c r="F2" s="1"/>
      <c r="G2" s="1"/>
      <c r="H2" s="1"/>
      <c r="I2" s="1"/>
      <c r="J2" s="1"/>
      <c r="K2" s="1"/>
      <c r="L2" s="1"/>
      <c r="M2" s="1"/>
      <c r="N2" s="1"/>
      <c r="O2" s="1"/>
      <c r="P2" s="1"/>
      <c r="Q2" s="1"/>
      <c r="R2" s="1"/>
      <c r="S2" s="1"/>
      <c r="T2" s="1"/>
      <c r="U2" s="1"/>
      <c r="V2" s="1"/>
      <c r="W2" s="1"/>
      <c r="X2" s="1"/>
      <c r="Y2" s="1"/>
      <c r="Z2" s="1"/>
      <c r="AA2" s="1"/>
      <c r="AB2" s="1"/>
    </row>
    <row r="3" spans="1:28" ht="12.75">
      <c r="A3" s="1"/>
      <c r="B3" s="1"/>
      <c r="C3" s="1"/>
      <c r="D3" s="1"/>
      <c r="E3" s="1"/>
      <c r="F3" s="1"/>
      <c r="G3" s="1"/>
      <c r="H3" s="1"/>
      <c r="I3" s="1"/>
      <c r="J3" s="1"/>
      <c r="K3" s="1"/>
      <c r="L3" s="1"/>
      <c r="M3" s="1"/>
      <c r="N3" s="1"/>
      <c r="O3" s="1"/>
      <c r="P3" s="1"/>
      <c r="Q3" s="1"/>
      <c r="R3" s="1"/>
      <c r="S3" s="1"/>
      <c r="T3" s="1"/>
      <c r="U3" s="1"/>
      <c r="V3" s="1"/>
      <c r="W3" s="1"/>
      <c r="X3" s="1"/>
      <c r="Y3" s="1"/>
      <c r="Z3" s="1"/>
      <c r="AA3" s="1"/>
      <c r="AB3" s="1"/>
    </row>
    <row r="4" spans="1:28" ht="12.75">
      <c r="A4" s="1"/>
      <c r="B4" s="1"/>
      <c r="C4" s="1"/>
      <c r="D4" s="1"/>
      <c r="E4" s="1"/>
      <c r="F4" s="1"/>
      <c r="G4" s="1"/>
      <c r="H4" s="1"/>
      <c r="I4" s="1"/>
      <c r="J4" s="1"/>
      <c r="K4" s="1"/>
      <c r="L4" s="1"/>
      <c r="M4" s="1"/>
      <c r="N4" s="1"/>
      <c r="O4" s="1"/>
      <c r="P4" s="1"/>
      <c r="Q4" s="1"/>
      <c r="R4" s="1"/>
      <c r="S4" s="1"/>
      <c r="T4" s="1"/>
      <c r="U4" s="1"/>
      <c r="V4" s="1"/>
      <c r="W4" s="1"/>
      <c r="X4" s="1"/>
      <c r="Y4" s="1"/>
      <c r="Z4" s="1"/>
      <c r="AA4" s="1"/>
      <c r="AB4" s="1"/>
    </row>
    <row r="5" spans="1:28" ht="12.75">
      <c r="A5" s="1"/>
      <c r="B5" s="1"/>
      <c r="C5" s="1"/>
      <c r="D5" s="1"/>
      <c r="E5" s="1"/>
      <c r="F5" s="1"/>
      <c r="G5" s="1"/>
      <c r="H5" s="1"/>
      <c r="I5" s="1"/>
      <c r="J5" s="1"/>
      <c r="K5" s="1"/>
      <c r="L5" s="1"/>
      <c r="M5" s="1"/>
      <c r="N5" s="1"/>
      <c r="O5" s="1"/>
      <c r="P5" s="1"/>
      <c r="Q5" s="1"/>
      <c r="R5" s="1"/>
      <c r="S5" s="1"/>
      <c r="T5" s="1"/>
      <c r="U5" s="1"/>
      <c r="V5" s="1"/>
      <c r="W5" s="1"/>
      <c r="X5" s="1"/>
      <c r="Y5" s="1"/>
      <c r="Z5" s="1"/>
      <c r="AA5" s="1"/>
      <c r="AB5" s="1"/>
    </row>
    <row r="6" spans="1:28" ht="13.5" thickBot="1">
      <c r="A6" s="3" t="s">
        <v>26</v>
      </c>
      <c r="B6" s="3"/>
      <c r="C6" s="1"/>
      <c r="D6" s="1"/>
      <c r="E6" s="1"/>
      <c r="F6" s="1"/>
      <c r="G6" s="1"/>
      <c r="H6" s="1"/>
      <c r="I6" s="1"/>
      <c r="J6" s="1"/>
      <c r="K6" s="1"/>
      <c r="L6" s="1"/>
      <c r="M6" s="1"/>
      <c r="N6" s="1"/>
      <c r="O6" s="1"/>
      <c r="P6" s="1"/>
      <c r="Q6" s="1"/>
      <c r="R6" s="1"/>
      <c r="S6" s="1"/>
      <c r="T6" s="1"/>
      <c r="U6" s="1"/>
      <c r="V6" s="1"/>
      <c r="W6" s="1"/>
      <c r="X6" s="1"/>
      <c r="Y6" s="1"/>
      <c r="Z6" s="1"/>
      <c r="AA6" s="1"/>
      <c r="AB6" s="1"/>
    </row>
    <row r="7" spans="1:28" ht="13.5" thickBot="1">
      <c r="A7" s="2" t="s">
        <v>27</v>
      </c>
      <c r="B7" s="4">
        <v>85</v>
      </c>
      <c r="C7" s="1"/>
      <c r="D7" s="1"/>
      <c r="E7" s="1"/>
      <c r="F7" s="1"/>
      <c r="G7" s="1"/>
      <c r="H7" s="1"/>
      <c r="I7" s="1"/>
      <c r="J7" s="1"/>
      <c r="K7" s="1"/>
      <c r="L7" s="1"/>
      <c r="M7" s="1"/>
      <c r="N7" s="1"/>
      <c r="O7" s="1"/>
      <c r="P7" s="1"/>
      <c r="Q7" s="1"/>
      <c r="R7" s="1"/>
      <c r="S7" s="1"/>
      <c r="T7" s="1"/>
      <c r="U7" s="1"/>
      <c r="V7" s="1"/>
      <c r="W7" s="1"/>
      <c r="X7" s="1"/>
      <c r="Y7" s="1"/>
      <c r="Z7" s="1"/>
      <c r="AA7" s="1"/>
      <c r="AB7" s="1"/>
    </row>
    <row r="8" spans="1:28" ht="13.5" thickBot="1">
      <c r="A8" s="2" t="s">
        <v>28</v>
      </c>
      <c r="B8" s="5">
        <v>40</v>
      </c>
      <c r="C8" s="1"/>
      <c r="D8" s="1"/>
      <c r="E8" s="1"/>
      <c r="F8" s="1"/>
      <c r="G8" s="1"/>
      <c r="H8" s="1"/>
      <c r="I8" s="1"/>
      <c r="J8" s="1"/>
      <c r="K8" s="1"/>
      <c r="L8" s="1"/>
      <c r="M8" s="1"/>
      <c r="N8" s="1"/>
      <c r="O8" s="1"/>
      <c r="P8" s="1"/>
      <c r="Q8" s="1"/>
      <c r="R8" s="1"/>
      <c r="S8" s="1"/>
      <c r="T8" s="1"/>
      <c r="U8" s="1"/>
      <c r="V8" s="1"/>
      <c r="W8" s="1"/>
      <c r="X8" s="1"/>
      <c r="Y8" s="1"/>
      <c r="Z8" s="1"/>
      <c r="AA8" s="1"/>
      <c r="AB8" s="1"/>
    </row>
    <row r="9" spans="1:28" ht="12.75">
      <c r="A9" s="1"/>
      <c r="B9" s="1"/>
      <c r="C9" s="1"/>
      <c r="D9" s="1"/>
      <c r="E9" s="1"/>
      <c r="F9" s="1"/>
      <c r="G9" s="1"/>
      <c r="H9" s="1"/>
      <c r="I9" s="1"/>
      <c r="J9" s="1"/>
      <c r="K9" s="1"/>
      <c r="L9" s="1"/>
      <c r="M9" s="1"/>
      <c r="N9" s="1"/>
      <c r="O9" s="1"/>
      <c r="P9" s="1"/>
      <c r="Q9" s="1"/>
      <c r="R9" s="1"/>
      <c r="S9" s="1"/>
      <c r="T9" s="1"/>
      <c r="U9" s="1"/>
      <c r="V9" s="1"/>
      <c r="W9" s="1"/>
      <c r="X9" s="1"/>
      <c r="Y9" s="1"/>
      <c r="Z9" s="1"/>
      <c r="AA9" s="1"/>
      <c r="AB9" s="1"/>
    </row>
    <row r="10" spans="1:28"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ht="12.75">
      <c r="A11" s="2" t="s">
        <v>29</v>
      </c>
      <c r="B11" s="6">
        <f>Vin_min</f>
        <v>33.6</v>
      </c>
      <c r="C11" s="6">
        <f>Vin_min+(Vin_max-Vin_min)/10</f>
        <v>34.68</v>
      </c>
      <c r="D11" s="6">
        <f>Vin_min+2*(Vin_max-Vin_min)/10</f>
        <v>35.76</v>
      </c>
      <c r="E11" s="6">
        <f>Vin_min+3*(Vin_max-Vin_min)/10</f>
        <v>36.84</v>
      </c>
      <c r="F11" s="6">
        <f>Vin_min+4*(Vin_max-Vin_min)/10</f>
        <v>37.92</v>
      </c>
      <c r="G11" s="6">
        <f>Vin_min+5*(Vin_max-Vin_min)/10</f>
        <v>39</v>
      </c>
      <c r="H11" s="6">
        <f>Vin_min+6*(Vin_max-Vin_min)/10</f>
        <v>40.08</v>
      </c>
      <c r="I11" s="6">
        <f>Vin_min+7*(Vin_max-Vin_min)/10</f>
        <v>41.16</v>
      </c>
      <c r="J11" s="6">
        <f>Vin_min+8*(Vin_max-Vin_min)/10</f>
        <v>42.239999999999995</v>
      </c>
      <c r="K11" s="6">
        <f>Vin_min+9*(Vin_max-Vin_min)/10</f>
        <v>43.32</v>
      </c>
      <c r="L11" s="6">
        <f>Vin_min+10*(Vin_max-Vin_min)/10</f>
        <v>44.4</v>
      </c>
      <c r="M11" s="1"/>
      <c r="N11" s="1"/>
      <c r="O11" s="1"/>
      <c r="P11" s="1"/>
      <c r="Q11" s="1"/>
      <c r="R11" s="1"/>
      <c r="S11" s="1"/>
      <c r="T11" s="1"/>
      <c r="U11" s="1"/>
      <c r="V11" s="1"/>
      <c r="W11" s="1"/>
      <c r="X11" s="1"/>
      <c r="Y11" s="1"/>
      <c r="Z11" s="1"/>
      <c r="AA11" s="1"/>
      <c r="AB11" s="1"/>
    </row>
    <row r="12" spans="1:28" ht="12.75">
      <c r="A12" s="7" t="s">
        <v>30</v>
      </c>
      <c r="B12" s="8">
        <f aca="true" t="shared" si="0" ref="B12:L12">B11*(7*0.001+Qg*Fsw*0.000001)</f>
        <v>0.4032</v>
      </c>
      <c r="C12" s="8">
        <f t="shared" si="0"/>
        <v>0.41616000000000003</v>
      </c>
      <c r="D12" s="8">
        <f t="shared" si="0"/>
        <v>0.42912</v>
      </c>
      <c r="E12" s="8">
        <f t="shared" si="0"/>
        <v>0.44208000000000003</v>
      </c>
      <c r="F12" s="8">
        <f t="shared" si="0"/>
        <v>0.45504000000000006</v>
      </c>
      <c r="G12" s="8">
        <f t="shared" si="0"/>
        <v>0.468</v>
      </c>
      <c r="H12" s="8">
        <f t="shared" si="0"/>
        <v>0.48096</v>
      </c>
      <c r="I12" s="8">
        <f t="shared" si="0"/>
        <v>0.49391999999999997</v>
      </c>
      <c r="J12" s="8">
        <f t="shared" si="0"/>
        <v>0.50688</v>
      </c>
      <c r="K12" s="8">
        <f t="shared" si="0"/>
        <v>0.51984</v>
      </c>
      <c r="L12" s="8">
        <f t="shared" si="0"/>
        <v>0.5327999999999999</v>
      </c>
      <c r="M12" s="1"/>
      <c r="N12" s="1"/>
      <c r="O12" s="1"/>
      <c r="P12" s="1"/>
      <c r="Q12" s="1"/>
      <c r="R12" s="1"/>
      <c r="S12" s="1"/>
      <c r="T12" s="1"/>
      <c r="U12" s="1"/>
      <c r="V12" s="1"/>
      <c r="W12" s="1"/>
      <c r="X12" s="1"/>
      <c r="Y12" s="1"/>
      <c r="Z12" s="1"/>
      <c r="AA12" s="1"/>
      <c r="AB12" s="1"/>
    </row>
    <row r="13" spans="1:28" ht="12.75">
      <c r="A13" s="7" t="s">
        <v>69</v>
      </c>
      <c r="B13" s="9">
        <f aca="true" t="shared" si="1" ref="B13:L13">B12*RJA</f>
        <v>16.128</v>
      </c>
      <c r="C13" s="9">
        <f t="shared" si="1"/>
        <v>16.6464</v>
      </c>
      <c r="D13" s="9">
        <f t="shared" si="1"/>
        <v>17.1648</v>
      </c>
      <c r="E13" s="9">
        <f t="shared" si="1"/>
        <v>17.6832</v>
      </c>
      <c r="F13" s="9">
        <f t="shared" si="1"/>
        <v>18.201600000000003</v>
      </c>
      <c r="G13" s="9">
        <f t="shared" si="1"/>
        <v>18.720000000000002</v>
      </c>
      <c r="H13" s="9">
        <f t="shared" si="1"/>
        <v>19.2384</v>
      </c>
      <c r="I13" s="9">
        <f t="shared" si="1"/>
        <v>19.7568</v>
      </c>
      <c r="J13" s="9">
        <f t="shared" si="1"/>
        <v>20.275199999999998</v>
      </c>
      <c r="K13" s="9">
        <f t="shared" si="1"/>
        <v>20.793599999999998</v>
      </c>
      <c r="L13" s="9">
        <f t="shared" si="1"/>
        <v>21.311999999999998</v>
      </c>
      <c r="M13" s="1"/>
      <c r="N13" s="1"/>
      <c r="O13" s="1"/>
      <c r="P13" s="1"/>
      <c r="Q13" s="1"/>
      <c r="R13" s="1"/>
      <c r="S13" s="1"/>
      <c r="T13" s="1"/>
      <c r="U13" s="1"/>
      <c r="V13" s="1"/>
      <c r="W13" s="1"/>
      <c r="X13" s="1"/>
      <c r="Y13" s="1"/>
      <c r="Z13" s="1"/>
      <c r="AA13" s="1"/>
      <c r="AB13" s="1"/>
    </row>
    <row r="14" spans="1:28" ht="12.75">
      <c r="A14" s="7" t="s">
        <v>31</v>
      </c>
      <c r="B14" s="9">
        <f aca="true" t="shared" si="2" ref="B14:L14">TA+B12*RJA</f>
        <v>101.128</v>
      </c>
      <c r="C14" s="9">
        <f t="shared" si="2"/>
        <v>101.6464</v>
      </c>
      <c r="D14" s="9">
        <f t="shared" si="2"/>
        <v>102.1648</v>
      </c>
      <c r="E14" s="9">
        <f t="shared" si="2"/>
        <v>102.6832</v>
      </c>
      <c r="F14" s="9">
        <f t="shared" si="2"/>
        <v>103.2016</v>
      </c>
      <c r="G14" s="9">
        <f t="shared" si="2"/>
        <v>103.72</v>
      </c>
      <c r="H14" s="9">
        <f t="shared" si="2"/>
        <v>104.2384</v>
      </c>
      <c r="I14" s="9">
        <f t="shared" si="2"/>
        <v>104.7568</v>
      </c>
      <c r="J14" s="9">
        <f t="shared" si="2"/>
        <v>105.2752</v>
      </c>
      <c r="K14" s="9">
        <f t="shared" si="2"/>
        <v>105.7936</v>
      </c>
      <c r="L14" s="9">
        <f t="shared" si="2"/>
        <v>106.312</v>
      </c>
      <c r="M14" s="1"/>
      <c r="N14" s="1"/>
      <c r="O14" s="1"/>
      <c r="P14" s="1"/>
      <c r="Q14" s="1"/>
      <c r="R14" s="1"/>
      <c r="S14" s="1"/>
      <c r="T14" s="1"/>
      <c r="U14" s="1"/>
      <c r="V14" s="1"/>
      <c r="W14" s="1"/>
      <c r="X14" s="1"/>
      <c r="Y14" s="1"/>
      <c r="Z14" s="1"/>
      <c r="AA14" s="1"/>
      <c r="AB14" s="1"/>
    </row>
    <row r="15" spans="1:28" ht="12.7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2.7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2.7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41" ht="1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ht="1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ht="1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ht="1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ht="1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ht="1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ht="1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ht="1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ht="1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ht="1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ht="1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ht="1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ht="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ht="1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ht="1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ht="1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ht="1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ht="1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ht="1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ht="1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ht="1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ht="1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ht="1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ht="1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ht="1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ht="1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ht="1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ht="1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ht="1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ht="1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ht="1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ht="1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ht="1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ht="1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ht="1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ht="1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ht="1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ht="1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ht="1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ht="1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1:41" ht="1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1:41" ht="1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1:41" ht="1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1:41" ht="1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1:41" ht="1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1:41" ht="1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1:41" ht="1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1:41" ht="1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1:41" ht="1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1:41" ht="1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1:41" ht="1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1" ht="1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ht="1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ht="1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ht="1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ht="1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ht="1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ht="1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ht="1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ht="1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ht="1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ht="1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ht="1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ht="1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ht="1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ht="1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ht="1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1:41" ht="1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1:41" ht="1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1:41" ht="1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1:41" ht="1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1:41" ht="1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row>
    <row r="172" spans="1:41" ht="1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row>
    <row r="173" spans="1:41" ht="1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row>
    <row r="174" spans="1:41" ht="1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row>
    <row r="175" spans="1:41" ht="1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row>
    <row r="176" spans="1:41" ht="1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row>
    <row r="177" spans="1:41" ht="1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row>
    <row r="178" spans="1:41" ht="1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row>
    <row r="179" spans="1:41" ht="1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row>
    <row r="180" spans="1:41" ht="1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row>
    <row r="181" spans="1:41" ht="1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row>
    <row r="182" spans="1:41" ht="1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1:41" ht="1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sheetData>
  <sheetProtection sheet="1" objects="1" scenarios="1"/>
  <conditionalFormatting sqref="B14:L14">
    <cfRule type="cellIs" priority="1" dxfId="0" operator="greaterThan" stopIfTrue="1">
      <formula>125</formula>
    </cfRule>
  </conditionalFormatting>
  <dataValidations count="2">
    <dataValidation errorStyle="warning" type="decimal" allowBlank="1" showInputMessage="1" showErrorMessage="1" errorTitle="Thermal Resistance Sanity Check" error="Please enter a reasonable RJA&#10;0&lt;RJA&lt;1000" sqref="B8">
      <formula1>0</formula1>
      <formula2>1000</formula2>
    </dataValidation>
    <dataValidation errorStyle="warning" type="decimal" allowBlank="1" showInputMessage="1" showErrorMessage="1" errorTitle="Ambient Temperature Check" error="-40C&lt;TA&lt;200C" sqref="B7">
      <formula1>-40</formula1>
      <formula2>200</formula2>
    </dataValidation>
  </dataValidations>
  <printOptions horizontalCentered="1" verticalCentered="1"/>
  <pageMargins left="0.787401575" right="0.25" top="0.6" bottom="0.52" header="0.5" footer="0.5"/>
  <pageSetup horizontalDpi="600" verticalDpi="600" orientation="portrait" scale="75" r:id="rId4"/>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AB185"/>
  <sheetViews>
    <sheetView zoomScalePageLayoutView="0" workbookViewId="0" topLeftCell="A24">
      <selection activeCell="D49" sqref="D49"/>
    </sheetView>
  </sheetViews>
  <sheetFormatPr defaultColWidth="11.421875" defaultRowHeight="12.75"/>
  <cols>
    <col min="1" max="2" width="8.7109375" style="0" customWidth="1"/>
    <col min="3" max="3" width="15.421875" style="0" customWidth="1"/>
    <col min="4" max="4" width="13.140625" style="0" customWidth="1"/>
    <col min="5" max="5" width="17.421875" style="0" customWidth="1"/>
    <col min="6" max="6" width="16.8515625" style="0" customWidth="1"/>
    <col min="7" max="7" width="16.7109375" style="0" customWidth="1"/>
    <col min="8" max="8" width="15.57421875" style="0" customWidth="1"/>
    <col min="9" max="9" width="12.57421875" style="0" customWidth="1"/>
    <col min="10" max="10" width="13.421875" style="0" customWidth="1"/>
    <col min="11" max="16" width="8.7109375" style="0" customWidth="1"/>
    <col min="17" max="17" width="16.28125" style="0" customWidth="1"/>
    <col min="18" max="18" width="15.28125" style="0" customWidth="1"/>
    <col min="19" max="19" width="17.421875" style="0" customWidth="1"/>
    <col min="20" max="20" width="19.28125" style="0" customWidth="1"/>
    <col min="21" max="21" width="0" style="0" hidden="1" customWidth="1"/>
    <col min="22" max="16384" width="8.7109375" style="0" customWidth="1"/>
  </cols>
  <sheetData>
    <row r="1" spans="1:20" ht="21" customHeight="1" hidden="1">
      <c r="A1" s="1"/>
      <c r="B1" s="1"/>
      <c r="C1" s="11" t="s">
        <v>24</v>
      </c>
      <c r="D1" s="11" t="s">
        <v>25</v>
      </c>
      <c r="E1" s="11" t="s">
        <v>14</v>
      </c>
      <c r="F1" s="11" t="s">
        <v>15</v>
      </c>
      <c r="G1" s="11" t="s">
        <v>16</v>
      </c>
      <c r="H1" s="11" t="s">
        <v>17</v>
      </c>
      <c r="I1" s="11" t="s">
        <v>18</v>
      </c>
      <c r="J1" s="11" t="s">
        <v>19</v>
      </c>
      <c r="K1" s="1"/>
      <c r="L1" s="1"/>
      <c r="M1" s="1"/>
      <c r="N1" s="1"/>
      <c r="O1" s="1"/>
      <c r="P1" s="1"/>
      <c r="Q1" s="1"/>
      <c r="R1" s="1"/>
      <c r="S1" s="1"/>
      <c r="T1" s="1"/>
    </row>
    <row r="2" spans="1:20" ht="12" hidden="1">
      <c r="A2" s="1"/>
      <c r="B2" s="1"/>
      <c r="C2" s="12">
        <v>0.1</v>
      </c>
      <c r="D2" s="13">
        <f>2*PI()*C2</f>
        <v>0.6283185307179586</v>
      </c>
      <c r="E2" s="14">
        <f aca="true" t="shared" si="0" ref="E2:E23">20*LOG(DC_GAIN_MOD/SQRT((D2*Rload*Cout1*0.000001)^2+1))</f>
        <v>31.572514169190292</v>
      </c>
      <c r="F2" s="14">
        <f aca="true" t="shared" si="1" ref="F2:F23">-ATAN(D2*Rload*Cout1*0.000001)*(180/PI())</f>
        <v>-0.017463509039476893</v>
      </c>
      <c r="G2" s="14">
        <f aca="true" t="shared" si="2" ref="G2:G23">20*LOG(SQRT((D2*Rcomp*Ccomp*0.000000001)^2+1))-20*LOG((Rfb2*Ccomp*0.000000001*D2))-20*LOG(SQRT((Rcomp*Chf*0.000000001*D2)^2+1))</f>
        <v>106.06205899751383</v>
      </c>
      <c r="H2" s="10">
        <f aca="true" t="shared" si="3" ref="H2:H23">ATAN(D2*Rcomp*Ccomp*0.000000001)*180/PI()-90-ATAN(D2*Rcomp*Chf*0.000000001)*180/PI()</f>
        <v>-89.99886554356578</v>
      </c>
      <c r="I2" s="14">
        <f>E2+G2</f>
        <v>137.63457316670412</v>
      </c>
      <c r="J2" s="14">
        <f>F2+H2+180</f>
        <v>89.98367094739474</v>
      </c>
      <c r="K2" s="1"/>
      <c r="L2" s="1"/>
      <c r="M2" s="1"/>
      <c r="N2" s="1"/>
      <c r="O2" s="1"/>
      <c r="P2" s="1"/>
      <c r="Q2" s="1"/>
      <c r="R2" s="1"/>
      <c r="S2" s="1"/>
      <c r="T2" s="1"/>
    </row>
    <row r="3" spans="1:20" ht="17.25" customHeight="1" hidden="1">
      <c r="A3" s="1"/>
      <c r="B3" s="1"/>
      <c r="C3" s="12">
        <v>0.2</v>
      </c>
      <c r="D3" s="13">
        <f aca="true" t="shared" si="4" ref="D3:D23">2*PI()*C3</f>
        <v>1.2566370614359172</v>
      </c>
      <c r="E3" s="14">
        <f t="shared" si="0"/>
        <v>31.572512958806065</v>
      </c>
      <c r="F3" s="14">
        <f t="shared" si="1"/>
        <v>-0.03492701483421912</v>
      </c>
      <c r="G3" s="14">
        <f t="shared" si="2"/>
        <v>100.04145908944521</v>
      </c>
      <c r="H3" s="10">
        <f t="shared" si="3"/>
        <v>-89.9977310871325</v>
      </c>
      <c r="I3" s="14">
        <f aca="true" t="shared" si="5" ref="I3:I23">E3+G3</f>
        <v>131.61397204825127</v>
      </c>
      <c r="J3" s="14">
        <f aca="true" t="shared" si="6" ref="J3:J23">F3+H3+180</f>
        <v>89.96734189803328</v>
      </c>
      <c r="K3" s="1"/>
      <c r="L3" s="1"/>
      <c r="M3" s="1"/>
      <c r="N3" s="1"/>
      <c r="O3" s="1"/>
      <c r="P3" s="1"/>
      <c r="Q3" s="1"/>
      <c r="R3" s="1"/>
      <c r="S3" s="1"/>
      <c r="T3" s="1"/>
    </row>
    <row r="4" spans="1:20" ht="14.25" customHeight="1" hidden="1">
      <c r="A4" s="1"/>
      <c r="B4" s="1"/>
      <c r="C4" s="12">
        <v>0.5</v>
      </c>
      <c r="D4" s="13">
        <f t="shared" si="4"/>
        <v>3.141592653589793</v>
      </c>
      <c r="E4" s="14">
        <f t="shared" si="0"/>
        <v>31.572504486125958</v>
      </c>
      <c r="F4" s="14">
        <f t="shared" si="1"/>
        <v>-0.0873174803027669</v>
      </c>
      <c r="G4" s="14">
        <f t="shared" si="2"/>
        <v>92.08265895248155</v>
      </c>
      <c r="H4" s="10">
        <f t="shared" si="3"/>
        <v>-89.9943277178473</v>
      </c>
      <c r="I4" s="14">
        <f t="shared" si="5"/>
        <v>123.6551634386075</v>
      </c>
      <c r="J4" s="14">
        <f t="shared" si="6"/>
        <v>89.91835480184993</v>
      </c>
      <c r="K4" s="1"/>
      <c r="L4" s="1"/>
      <c r="M4" s="1"/>
      <c r="N4" s="1"/>
      <c r="O4" s="1"/>
      <c r="P4" s="1"/>
      <c r="Q4" s="13"/>
      <c r="R4" s="1"/>
      <c r="S4" s="1"/>
      <c r="T4" s="1"/>
    </row>
    <row r="5" spans="1:20" ht="12.75" hidden="1">
      <c r="A5" s="1"/>
      <c r="B5" s="1"/>
      <c r="C5" s="12">
        <v>1</v>
      </c>
      <c r="D5" s="13">
        <f t="shared" si="4"/>
        <v>6.283185307179586</v>
      </c>
      <c r="E5" s="14">
        <f t="shared" si="0"/>
        <v>31.572474226689067</v>
      </c>
      <c r="F5" s="14">
        <f t="shared" si="1"/>
        <v>-0.17463455501641215</v>
      </c>
      <c r="G5" s="14">
        <f t="shared" si="2"/>
        <v>86.06205916947725</v>
      </c>
      <c r="H5" s="10">
        <f t="shared" si="3"/>
        <v>-89.98865543580919</v>
      </c>
      <c r="I5" s="14">
        <f t="shared" si="5"/>
        <v>117.63453339616632</v>
      </c>
      <c r="J5" s="14">
        <f t="shared" si="6"/>
        <v>89.8367100091744</v>
      </c>
      <c r="K5" s="1"/>
      <c r="L5" s="1"/>
      <c r="M5" s="1"/>
      <c r="N5" s="1"/>
      <c r="O5" s="1"/>
      <c r="P5" s="1"/>
      <c r="Q5" s="1"/>
      <c r="R5" s="15" t="s">
        <v>58</v>
      </c>
      <c r="S5" s="15"/>
      <c r="T5" s="1"/>
    </row>
    <row r="6" spans="1:20" ht="12" hidden="1">
      <c r="A6" s="1"/>
      <c r="B6" s="1"/>
      <c r="C6" s="12">
        <v>2</v>
      </c>
      <c r="D6" s="13">
        <f t="shared" si="4"/>
        <v>12.566370614359172</v>
      </c>
      <c r="E6" s="14">
        <f t="shared" si="0"/>
        <v>31.572353191049785</v>
      </c>
      <c r="F6" s="14">
        <f t="shared" si="1"/>
        <v>-0.34926586538767196</v>
      </c>
      <c r="G6" s="14">
        <f t="shared" si="2"/>
        <v>80.04145977729883</v>
      </c>
      <c r="H6" s="10">
        <f t="shared" si="3"/>
        <v>-89.97731087253513</v>
      </c>
      <c r="I6" s="14">
        <f t="shared" si="5"/>
        <v>111.61381296834861</v>
      </c>
      <c r="J6" s="14">
        <f t="shared" si="6"/>
        <v>89.6734232620772</v>
      </c>
      <c r="K6" s="1"/>
      <c r="L6" s="1"/>
      <c r="M6" s="1"/>
      <c r="N6" s="1"/>
      <c r="O6" s="1"/>
      <c r="P6" s="1"/>
      <c r="Q6" s="1"/>
      <c r="R6" s="1"/>
      <c r="S6" s="1"/>
      <c r="T6" s="2" t="s">
        <v>59</v>
      </c>
    </row>
    <row r="7" spans="1:20" ht="12.75" hidden="1">
      <c r="A7" s="1"/>
      <c r="B7" s="1"/>
      <c r="C7" s="12">
        <v>5</v>
      </c>
      <c r="D7" s="13">
        <f t="shared" si="4"/>
        <v>31.41592653589793</v>
      </c>
      <c r="E7" s="14">
        <f t="shared" si="0"/>
        <v>31.571506036011286</v>
      </c>
      <c r="F7" s="14">
        <f t="shared" si="1"/>
        <v>-0.8731078897737246</v>
      </c>
      <c r="G7" s="14">
        <f t="shared" si="2"/>
        <v>72.0826632515648</v>
      </c>
      <c r="H7" s="10">
        <f t="shared" si="3"/>
        <v>-89.94327719738061</v>
      </c>
      <c r="I7" s="14">
        <f t="shared" si="5"/>
        <v>103.65416928757608</v>
      </c>
      <c r="J7" s="14">
        <f t="shared" si="6"/>
        <v>89.18361491284567</v>
      </c>
      <c r="K7" s="1"/>
      <c r="L7" s="1"/>
      <c r="M7" s="1"/>
      <c r="N7" s="1"/>
      <c r="O7" s="1"/>
      <c r="P7" s="1"/>
      <c r="Q7" s="1"/>
      <c r="R7" s="3" t="s">
        <v>20</v>
      </c>
      <c r="S7" s="16">
        <f>Vout/Max_Ave_Iload</f>
        <v>3.4285714285714284</v>
      </c>
      <c r="T7" s="2" t="s">
        <v>56</v>
      </c>
    </row>
    <row r="8" spans="1:20" ht="12.75" hidden="1">
      <c r="A8" s="1"/>
      <c r="B8" s="1"/>
      <c r="C8" s="12">
        <v>10</v>
      </c>
      <c r="D8" s="13">
        <f t="shared" si="4"/>
        <v>62.83185307179586</v>
      </c>
      <c r="E8" s="14">
        <f t="shared" si="0"/>
        <v>31.568481830568192</v>
      </c>
      <c r="F8" s="14">
        <f t="shared" si="1"/>
        <v>-1.7458104700006079</v>
      </c>
      <c r="G8" s="14">
        <f t="shared" si="2"/>
        <v>66.06207636578418</v>
      </c>
      <c r="H8" s="10">
        <f t="shared" si="3"/>
        <v>-89.88655450935232</v>
      </c>
      <c r="I8" s="14">
        <f t="shared" si="5"/>
        <v>97.63055819635237</v>
      </c>
      <c r="J8" s="14">
        <f t="shared" si="6"/>
        <v>88.36763502064707</v>
      </c>
      <c r="K8" s="1"/>
      <c r="L8" s="1"/>
      <c r="M8" s="1"/>
      <c r="N8" s="1"/>
      <c r="O8" s="1"/>
      <c r="P8" s="1"/>
      <c r="Q8" s="1"/>
      <c r="R8" s="3" t="s">
        <v>21</v>
      </c>
      <c r="S8" s="16">
        <f>Rload/(10*Rs*0.001)</f>
        <v>37.898823529411764</v>
      </c>
      <c r="T8" s="2" t="s">
        <v>57</v>
      </c>
    </row>
    <row r="9" spans="1:20" ht="12.75" hidden="1">
      <c r="A9" s="1"/>
      <c r="B9" s="1"/>
      <c r="C9" s="12">
        <v>20</v>
      </c>
      <c r="D9" s="13">
        <f t="shared" si="4"/>
        <v>125.66370614359172</v>
      </c>
      <c r="E9" s="14">
        <f t="shared" si="0"/>
        <v>31.556406023930705</v>
      </c>
      <c r="F9" s="14">
        <f t="shared" si="1"/>
        <v>-3.4883852224116767</v>
      </c>
      <c r="G9" s="14">
        <f t="shared" si="2"/>
        <v>60.041528562109704</v>
      </c>
      <c r="H9" s="10">
        <f t="shared" si="3"/>
        <v>-89.77310993542521</v>
      </c>
      <c r="I9" s="14">
        <f t="shared" si="5"/>
        <v>91.59793458604041</v>
      </c>
      <c r="J9" s="14">
        <f t="shared" si="6"/>
        <v>86.73850484216311</v>
      </c>
      <c r="K9" s="1"/>
      <c r="L9" s="1"/>
      <c r="M9" s="1"/>
      <c r="N9" s="1"/>
      <c r="O9" s="1"/>
      <c r="P9" s="1"/>
      <c r="Q9" s="1"/>
      <c r="R9" s="3" t="s">
        <v>60</v>
      </c>
      <c r="S9" s="3">
        <v>7.7</v>
      </c>
      <c r="T9" s="1"/>
    </row>
    <row r="10" spans="1:20" ht="12" hidden="1">
      <c r="A10" s="1"/>
      <c r="B10" s="1"/>
      <c r="C10" s="12">
        <v>50</v>
      </c>
      <c r="D10" s="13">
        <f t="shared" si="4"/>
        <v>314.1592653589793</v>
      </c>
      <c r="E10" s="14">
        <f t="shared" si="0"/>
        <v>31.472802676492083</v>
      </c>
      <c r="F10" s="14">
        <f t="shared" si="1"/>
        <v>-8.665082773974296</v>
      </c>
      <c r="G10" s="14">
        <f t="shared" si="2"/>
        <v>52.083093138395625</v>
      </c>
      <c r="H10" s="10">
        <f t="shared" si="3"/>
        <v>-89.43279088024873</v>
      </c>
      <c r="I10" s="14">
        <f t="shared" si="5"/>
        <v>83.5558958148877</v>
      </c>
      <c r="J10" s="14">
        <f t="shared" si="6"/>
        <v>81.90212634577698</v>
      </c>
      <c r="K10" s="1"/>
      <c r="L10" s="1"/>
      <c r="M10" s="1"/>
      <c r="N10" s="1"/>
      <c r="O10" s="1"/>
      <c r="P10" s="1"/>
      <c r="Q10" s="1"/>
      <c r="R10" s="1"/>
      <c r="S10" s="1"/>
      <c r="T10" s="1"/>
    </row>
    <row r="11" spans="1:20" ht="12" hidden="1">
      <c r="A11" s="1"/>
      <c r="B11" s="1"/>
      <c r="C11" s="12">
        <v>100</v>
      </c>
      <c r="D11" s="13">
        <f t="shared" si="4"/>
        <v>628.3185307179587</v>
      </c>
      <c r="E11" s="14">
        <f t="shared" si="0"/>
        <v>31.186708549430758</v>
      </c>
      <c r="F11" s="14">
        <f t="shared" si="1"/>
        <v>-16.950998136783948</v>
      </c>
      <c r="G11" s="14">
        <f t="shared" si="2"/>
        <v>46.06379565264368</v>
      </c>
      <c r="H11" s="10">
        <f t="shared" si="3"/>
        <v>-88.86569631757473</v>
      </c>
      <c r="I11" s="14">
        <f t="shared" si="5"/>
        <v>77.25050420207444</v>
      </c>
      <c r="J11" s="14">
        <f t="shared" si="6"/>
        <v>74.18330554564132</v>
      </c>
      <c r="K11" s="1"/>
      <c r="L11" s="1"/>
      <c r="M11" s="1"/>
      <c r="N11" s="1"/>
      <c r="O11" s="1"/>
      <c r="P11" s="1"/>
      <c r="Q11" s="1"/>
      <c r="R11" s="1"/>
      <c r="S11" s="2"/>
      <c r="T11" s="2"/>
    </row>
    <row r="12" spans="1:20" ht="12" hidden="1">
      <c r="A12" s="1"/>
      <c r="B12" s="1"/>
      <c r="C12" s="12">
        <v>200</v>
      </c>
      <c r="D12" s="13">
        <f t="shared" si="4"/>
        <v>1256.6370614359173</v>
      </c>
      <c r="E12" s="14">
        <f t="shared" si="0"/>
        <v>30.200234187215706</v>
      </c>
      <c r="F12" s="14">
        <f t="shared" si="1"/>
        <v>-31.366129185137456</v>
      </c>
      <c r="G12" s="14">
        <f t="shared" si="2"/>
        <v>40.048401546289625</v>
      </c>
      <c r="H12" s="10">
        <f t="shared" si="3"/>
        <v>-87.73230826794439</v>
      </c>
      <c r="I12" s="14">
        <f t="shared" si="5"/>
        <v>70.24863573350532</v>
      </c>
      <c r="J12" s="14">
        <f t="shared" si="6"/>
        <v>60.90156254691816</v>
      </c>
      <c r="K12" s="1"/>
      <c r="L12" s="1"/>
      <c r="M12" s="1"/>
      <c r="N12" s="1"/>
      <c r="O12" s="1"/>
      <c r="P12" s="1"/>
      <c r="Q12" s="1"/>
      <c r="R12" s="1"/>
      <c r="S12" s="1"/>
      <c r="T12" s="2"/>
    </row>
    <row r="13" spans="1:20" ht="12" hidden="1">
      <c r="A13" s="1"/>
      <c r="B13" s="1"/>
      <c r="C13" s="12">
        <v>500</v>
      </c>
      <c r="D13" s="13">
        <f t="shared" si="4"/>
        <v>3141.592653589793</v>
      </c>
      <c r="E13" s="14">
        <f t="shared" si="0"/>
        <v>26.35785017355953</v>
      </c>
      <c r="F13" s="14">
        <f t="shared" si="1"/>
        <v>-56.728029735284956</v>
      </c>
      <c r="G13" s="14">
        <f t="shared" si="2"/>
        <v>32.12586830394023</v>
      </c>
      <c r="H13" s="10">
        <f t="shared" si="3"/>
        <v>-84.34670262291486</v>
      </c>
      <c r="I13" s="14">
        <f t="shared" si="5"/>
        <v>58.483718477499764</v>
      </c>
      <c r="J13" s="14">
        <f t="shared" si="6"/>
        <v>38.92526764180019</v>
      </c>
      <c r="K13" s="1"/>
      <c r="L13" s="1"/>
      <c r="M13" s="1"/>
      <c r="N13" s="1"/>
      <c r="O13" s="1"/>
      <c r="P13" s="1"/>
      <c r="Q13" s="1"/>
      <c r="R13" s="1"/>
      <c r="S13" s="1"/>
      <c r="T13" s="1"/>
    </row>
    <row r="14" spans="1:20" ht="12" hidden="1">
      <c r="A14" s="1"/>
      <c r="B14" s="1"/>
      <c r="C14" s="12">
        <v>1000</v>
      </c>
      <c r="D14" s="13">
        <f t="shared" si="4"/>
        <v>6283.185307179586</v>
      </c>
      <c r="E14" s="14">
        <f t="shared" si="0"/>
        <v>21.448342093828295</v>
      </c>
      <c r="F14" s="14">
        <f t="shared" si="1"/>
        <v>-71.83592769526565</v>
      </c>
      <c r="G14" s="14">
        <f t="shared" si="2"/>
        <v>26.232375017020097</v>
      </c>
      <c r="H14" s="10">
        <f t="shared" si="3"/>
        <v>-78.80465893221758</v>
      </c>
      <c r="I14" s="14">
        <f t="shared" si="5"/>
        <v>47.68071711084839</v>
      </c>
      <c r="J14" s="14">
        <f t="shared" si="6"/>
        <v>29.35941337251677</v>
      </c>
      <c r="K14" s="1"/>
      <c r="L14" s="1"/>
      <c r="M14" s="1"/>
      <c r="N14" s="1"/>
      <c r="O14" s="1"/>
      <c r="P14" s="1"/>
      <c r="Q14" s="1"/>
      <c r="R14" s="1"/>
      <c r="S14" s="1"/>
      <c r="T14" s="1"/>
    </row>
    <row r="15" spans="1:20" ht="12" hidden="1">
      <c r="A15" s="1"/>
      <c r="B15" s="1"/>
      <c r="C15" s="12">
        <v>2000</v>
      </c>
      <c r="D15" s="13">
        <f t="shared" si="4"/>
        <v>12566.370614359172</v>
      </c>
      <c r="E15" s="14">
        <f t="shared" si="0"/>
        <v>15.756410708556928</v>
      </c>
      <c r="F15" s="14">
        <f t="shared" si="1"/>
        <v>-80.68393011621079</v>
      </c>
      <c r="G15" s="14">
        <f t="shared" si="2"/>
        <v>20.68596948820517</v>
      </c>
      <c r="H15" s="10">
        <f t="shared" si="3"/>
        <v>-68.42777240940228</v>
      </c>
      <c r="I15" s="14">
        <f t="shared" si="5"/>
        <v>36.4423801967621</v>
      </c>
      <c r="J15" s="14">
        <f t="shared" si="6"/>
        <v>30.888297474386945</v>
      </c>
      <c r="K15" s="1"/>
      <c r="L15" s="1"/>
      <c r="M15" s="1"/>
      <c r="N15" s="1"/>
      <c r="O15" s="1"/>
      <c r="P15" s="1"/>
      <c r="Q15" s="1"/>
      <c r="R15" s="1"/>
      <c r="S15" s="1"/>
      <c r="T15" s="1"/>
    </row>
    <row r="16" spans="1:20" ht="12" hidden="1">
      <c r="A16" s="1"/>
      <c r="B16" s="1"/>
      <c r="C16" s="12">
        <v>5000</v>
      </c>
      <c r="D16" s="13">
        <f t="shared" si="4"/>
        <v>31415.926535897932</v>
      </c>
      <c r="E16" s="14">
        <f t="shared" si="0"/>
        <v>7.894277389945877</v>
      </c>
      <c r="F16" s="14">
        <f t="shared" si="1"/>
        <v>-86.24576389591876</v>
      </c>
      <c r="G16" s="14">
        <f t="shared" si="2"/>
        <v>15.092524592927635</v>
      </c>
      <c r="H16" s="10">
        <f t="shared" si="3"/>
        <v>-45.57293869768348</v>
      </c>
      <c r="I16" s="14">
        <f t="shared" si="5"/>
        <v>22.986801982873512</v>
      </c>
      <c r="J16" s="14">
        <f t="shared" si="6"/>
        <v>48.18129740639776</v>
      </c>
      <c r="K16" s="1"/>
      <c r="L16" s="1"/>
      <c r="M16" s="1"/>
      <c r="N16" s="1"/>
      <c r="O16" s="1"/>
      <c r="P16" s="1"/>
      <c r="Q16" s="1"/>
      <c r="R16" s="1"/>
      <c r="S16" s="1"/>
      <c r="T16" s="1"/>
    </row>
    <row r="17" spans="1:20" ht="12" hidden="1">
      <c r="A17" s="1"/>
      <c r="B17" s="1"/>
      <c r="C17" s="12">
        <v>10000</v>
      </c>
      <c r="D17" s="13">
        <f t="shared" si="4"/>
        <v>62831.853071795864</v>
      </c>
      <c r="E17" s="14">
        <f t="shared" si="0"/>
        <v>1.887664361951673</v>
      </c>
      <c r="F17" s="14">
        <f t="shared" si="1"/>
        <v>-88.12086499505827</v>
      </c>
      <c r="G17" s="14">
        <f t="shared" si="2"/>
        <v>13.050022208552363</v>
      </c>
      <c r="H17" s="10">
        <f t="shared" si="3"/>
        <v>-27.710814015253092</v>
      </c>
      <c r="I17" s="14">
        <f t="shared" si="5"/>
        <v>14.937686570504036</v>
      </c>
      <c r="J17" s="14">
        <f t="shared" si="6"/>
        <v>64.16832098968864</v>
      </c>
      <c r="K17" s="1"/>
      <c r="L17" s="1"/>
      <c r="M17" s="1"/>
      <c r="N17" s="1"/>
      <c r="O17" s="1"/>
      <c r="P17" s="1"/>
      <c r="Q17" s="1"/>
      <c r="R17" s="1"/>
      <c r="S17" s="1"/>
      <c r="T17" s="1"/>
    </row>
    <row r="18" spans="1:20" ht="12" hidden="1">
      <c r="A18" s="1"/>
      <c r="B18" s="1"/>
      <c r="C18" s="12">
        <v>20000</v>
      </c>
      <c r="D18" s="13">
        <f t="shared" si="4"/>
        <v>125663.70614359173</v>
      </c>
      <c r="E18" s="14">
        <f t="shared" si="0"/>
        <v>-4.129431780193525</v>
      </c>
      <c r="F18" s="14">
        <f t="shared" si="1"/>
        <v>-89.0601797682894</v>
      </c>
      <c r="G18" s="14">
        <f t="shared" si="2"/>
        <v>12.33900513761639</v>
      </c>
      <c r="H18" s="10">
        <f t="shared" si="3"/>
        <v>-16.326853510565012</v>
      </c>
      <c r="I18" s="14">
        <f t="shared" si="5"/>
        <v>8.209573357422865</v>
      </c>
      <c r="J18" s="14">
        <f t="shared" si="6"/>
        <v>74.61296672114558</v>
      </c>
      <c r="K18" s="1"/>
      <c r="L18" s="1"/>
      <c r="M18" s="1"/>
      <c r="N18" s="1"/>
      <c r="O18" s="1"/>
      <c r="P18" s="1"/>
      <c r="Q18" s="1"/>
      <c r="R18" s="1"/>
      <c r="S18" s="1"/>
      <c r="T18" s="1"/>
    </row>
    <row r="19" spans="1:20" ht="12" hidden="1">
      <c r="A19" s="1"/>
      <c r="B19" s="1"/>
      <c r="C19" s="12">
        <v>50000</v>
      </c>
      <c r="D19" s="13">
        <f t="shared" si="4"/>
        <v>314159.2653589793</v>
      </c>
      <c r="E19" s="14">
        <f t="shared" si="0"/>
        <v>-12.087250390950732</v>
      </c>
      <c r="F19" s="14">
        <f t="shared" si="1"/>
        <v>-89.6240435840941</v>
      </c>
      <c r="G19" s="14">
        <f t="shared" si="2"/>
        <v>12.082658909056443</v>
      </c>
      <c r="H19" s="10">
        <f t="shared" si="3"/>
        <v>-11.4211862749993</v>
      </c>
      <c r="I19" s="14">
        <f t="shared" si="5"/>
        <v>-0.004591481894289373</v>
      </c>
      <c r="J19" s="14">
        <f t="shared" si="6"/>
        <v>78.9547701409066</v>
      </c>
      <c r="K19" s="1"/>
      <c r="L19" s="1"/>
      <c r="M19" s="1"/>
      <c r="N19" s="1"/>
      <c r="O19" s="1"/>
      <c r="P19" s="1"/>
      <c r="Q19" s="1"/>
      <c r="R19" s="1"/>
      <c r="S19" s="1"/>
      <c r="T19" s="1"/>
    </row>
    <row r="20" spans="1:20" ht="12" hidden="1">
      <c r="A20" s="1"/>
      <c r="B20" s="1"/>
      <c r="C20" s="12">
        <v>100000</v>
      </c>
      <c r="D20" s="13">
        <f t="shared" si="4"/>
        <v>628318.5307179586</v>
      </c>
      <c r="E20" s="14">
        <f t="shared" si="0"/>
        <v>-18.107710062878212</v>
      </c>
      <c r="F20" s="14">
        <f t="shared" si="1"/>
        <v>-89.81201976864622</v>
      </c>
      <c r="G20" s="14">
        <f t="shared" si="2"/>
        <v>11.923169328990843</v>
      </c>
      <c r="H20" s="10">
        <f t="shared" si="3"/>
        <v>-14.17233770013196</v>
      </c>
      <c r="I20" s="14">
        <f t="shared" si="5"/>
        <v>-6.184540733887369</v>
      </c>
      <c r="J20" s="14">
        <f t="shared" si="6"/>
        <v>76.01564253122181</v>
      </c>
      <c r="K20" s="1"/>
      <c r="L20" s="1"/>
      <c r="M20" s="1"/>
      <c r="N20" s="1"/>
      <c r="O20" s="1"/>
      <c r="P20" s="1"/>
      <c r="Q20" s="1"/>
      <c r="R20" s="1"/>
      <c r="S20" s="1"/>
      <c r="T20" s="1"/>
    </row>
    <row r="21" spans="1:20" ht="12" hidden="1">
      <c r="A21" s="1"/>
      <c r="B21" s="1"/>
      <c r="C21" s="12">
        <v>200000</v>
      </c>
      <c r="D21" s="13">
        <f t="shared" si="4"/>
        <v>1256637.0614359172</v>
      </c>
      <c r="E21" s="14">
        <f t="shared" si="0"/>
        <v>-24.128274915112186</v>
      </c>
      <c r="F21" s="14">
        <f t="shared" si="1"/>
        <v>-89.90600963139188</v>
      </c>
      <c r="G21" s="14">
        <f t="shared" si="2"/>
        <v>11.440792509421009</v>
      </c>
      <c r="H21" s="10">
        <f t="shared" si="3"/>
        <v>-23.233505670516443</v>
      </c>
      <c r="I21" s="14">
        <f t="shared" si="5"/>
        <v>-12.687482405691178</v>
      </c>
      <c r="J21" s="14">
        <f t="shared" si="6"/>
        <v>66.86048469809168</v>
      </c>
      <c r="K21" s="1"/>
      <c r="L21" s="1"/>
      <c r="M21" s="1"/>
      <c r="N21" s="1"/>
      <c r="O21" s="1"/>
      <c r="P21" s="1"/>
      <c r="Q21" s="1"/>
      <c r="R21" s="1"/>
      <c r="S21" s="1"/>
      <c r="T21" s="1"/>
    </row>
    <row r="22" spans="1:20" ht="12" hidden="1">
      <c r="A22" s="1"/>
      <c r="B22" s="1"/>
      <c r="C22" s="12">
        <v>500000</v>
      </c>
      <c r="D22" s="13">
        <f t="shared" si="4"/>
        <v>3141592.653589793</v>
      </c>
      <c r="E22" s="14">
        <f t="shared" si="0"/>
        <v>-32.087065271409436</v>
      </c>
      <c r="F22" s="14">
        <f t="shared" si="1"/>
        <v>-89.96240382422828</v>
      </c>
      <c r="G22" s="14">
        <f t="shared" si="2"/>
        <v>9.072793225185265</v>
      </c>
      <c r="H22" s="10">
        <f t="shared" si="3"/>
        <v>-45.57293869768347</v>
      </c>
      <c r="I22" s="14">
        <f t="shared" si="5"/>
        <v>-23.01427204622417</v>
      </c>
      <c r="J22" s="14">
        <f t="shared" si="6"/>
        <v>44.46465747808827</v>
      </c>
      <c r="K22" s="1"/>
      <c r="L22" s="1"/>
      <c r="M22" s="1"/>
      <c r="N22" s="1"/>
      <c r="O22" s="1"/>
      <c r="P22" s="1"/>
      <c r="Q22" s="1"/>
      <c r="R22" s="1"/>
      <c r="S22" s="1"/>
      <c r="T22" s="1"/>
    </row>
    <row r="23" spans="1:20" ht="12" hidden="1">
      <c r="A23" s="1"/>
      <c r="B23" s="1"/>
      <c r="C23" s="12">
        <v>1000000</v>
      </c>
      <c r="D23" s="13">
        <f t="shared" si="4"/>
        <v>6283185.307179586</v>
      </c>
      <c r="E23" s="14">
        <f t="shared" si="0"/>
        <v>-38.10766378223818</v>
      </c>
      <c r="F23" s="14">
        <f t="shared" si="1"/>
        <v>-89.98120191009068</v>
      </c>
      <c r="G23" s="14">
        <f t="shared" si="2"/>
        <v>5.093067437959589</v>
      </c>
      <c r="H23" s="10">
        <f t="shared" si="3"/>
        <v>-63.72142533319908</v>
      </c>
      <c r="I23" s="14">
        <f t="shared" si="5"/>
        <v>-33.01459634427859</v>
      </c>
      <c r="J23" s="14">
        <f t="shared" si="6"/>
        <v>26.297372756710246</v>
      </c>
      <c r="K23" s="1"/>
      <c r="L23" s="1"/>
      <c r="M23" s="1"/>
      <c r="N23" s="1"/>
      <c r="O23" s="1"/>
      <c r="P23" s="1"/>
      <c r="Q23" s="1"/>
      <c r="R23" s="1"/>
      <c r="S23" s="1"/>
      <c r="T23" s="1"/>
    </row>
    <row r="24" spans="1:28" ht="1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2">
      <c r="A30" s="1"/>
      <c r="B30" s="1"/>
      <c r="C30" s="1"/>
      <c r="D30" s="1"/>
      <c r="E30" s="1"/>
      <c r="F30" s="1"/>
      <c r="G30" s="1"/>
      <c r="H30" s="1"/>
      <c r="I30" s="1"/>
      <c r="J30" s="1"/>
      <c r="K30" s="1"/>
      <c r="L30" s="1"/>
      <c r="M30" s="1"/>
      <c r="N30" s="1"/>
      <c r="O30" s="1"/>
      <c r="P30" s="1"/>
      <c r="Q30" s="1"/>
      <c r="R30" s="1"/>
      <c r="S30" s="1"/>
      <c r="T30" s="1"/>
      <c r="U30" s="10">
        <f>(Vout/Vin_max)/(120*0.000000001*1000)</f>
        <v>4504.504504504504</v>
      </c>
      <c r="V30" s="1"/>
      <c r="W30" s="1"/>
      <c r="X30" s="1"/>
      <c r="Y30" s="1"/>
      <c r="Z30" s="1"/>
      <c r="AA30" s="1"/>
      <c r="AB30" s="1"/>
    </row>
    <row r="31" spans="1:28" ht="12">
      <c r="A31" s="1"/>
      <c r="B31" s="1"/>
      <c r="C31" s="1"/>
      <c r="D31" s="1"/>
      <c r="E31" s="1"/>
      <c r="F31" s="1"/>
      <c r="G31" s="1"/>
      <c r="H31" s="1"/>
      <c r="I31" s="1"/>
      <c r="J31" s="1"/>
      <c r="K31" s="1"/>
      <c r="L31" s="1"/>
      <c r="M31" s="1"/>
      <c r="N31" s="1"/>
      <c r="O31" s="1"/>
      <c r="P31" s="1"/>
      <c r="Q31" s="1"/>
      <c r="R31" s="1"/>
      <c r="S31" s="1"/>
      <c r="T31" s="1"/>
      <c r="U31" s="10">
        <f>(1-(Vout/Vin_min))/(0.00000055*1000)</f>
        <v>519.4805194805194</v>
      </c>
      <c r="V31" s="1"/>
      <c r="W31" s="1"/>
      <c r="X31" s="1"/>
      <c r="Y31" s="1"/>
      <c r="Z31" s="1"/>
      <c r="AA31" s="1"/>
      <c r="AB31" s="1"/>
    </row>
    <row r="32" spans="1:28" ht="1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7:28" ht="12">
      <c r="Q124" s="1"/>
      <c r="R124" s="1"/>
      <c r="S124" s="1"/>
      <c r="T124" s="1"/>
      <c r="U124" s="1"/>
      <c r="V124" s="1"/>
      <c r="W124" s="1"/>
      <c r="X124" s="1"/>
      <c r="Y124" s="1"/>
      <c r="Z124" s="1"/>
      <c r="AA124" s="1"/>
      <c r="AB124" s="1"/>
    </row>
    <row r="125" spans="17:28" ht="12">
      <c r="Q125" s="1"/>
      <c r="R125" s="1"/>
      <c r="S125" s="1"/>
      <c r="T125" s="1"/>
      <c r="U125" s="1"/>
      <c r="V125" s="1"/>
      <c r="W125" s="1"/>
      <c r="X125" s="1"/>
      <c r="Y125" s="1"/>
      <c r="Z125" s="1"/>
      <c r="AA125" s="1"/>
      <c r="AB125" s="1"/>
    </row>
    <row r="126" spans="17:28" ht="12">
      <c r="Q126" s="1"/>
      <c r="R126" s="1"/>
      <c r="S126" s="1"/>
      <c r="T126" s="1"/>
      <c r="U126" s="1"/>
      <c r="V126" s="1"/>
      <c r="W126" s="1"/>
      <c r="X126" s="1"/>
      <c r="Y126" s="1"/>
      <c r="Z126" s="1"/>
      <c r="AA126" s="1"/>
      <c r="AB126" s="1"/>
    </row>
    <row r="127" spans="17:28" ht="12">
      <c r="Q127" s="1"/>
      <c r="R127" s="1"/>
      <c r="S127" s="1"/>
      <c r="T127" s="1"/>
      <c r="U127" s="1"/>
      <c r="V127" s="1"/>
      <c r="W127" s="1"/>
      <c r="X127" s="1"/>
      <c r="Y127" s="1"/>
      <c r="Z127" s="1"/>
      <c r="AA127" s="1"/>
      <c r="AB127" s="1"/>
    </row>
    <row r="128" spans="17:28" ht="12">
      <c r="Q128" s="1"/>
      <c r="R128" s="1"/>
      <c r="S128" s="1"/>
      <c r="T128" s="1"/>
      <c r="U128" s="1"/>
      <c r="V128" s="1"/>
      <c r="W128" s="1"/>
      <c r="X128" s="1"/>
      <c r="Y128" s="1"/>
      <c r="Z128" s="1"/>
      <c r="AA128" s="1"/>
      <c r="AB128" s="1"/>
    </row>
    <row r="129" spans="17:28" ht="12">
      <c r="Q129" s="1"/>
      <c r="R129" s="1"/>
      <c r="S129" s="1"/>
      <c r="T129" s="1"/>
      <c r="U129" s="1"/>
      <c r="V129" s="1"/>
      <c r="W129" s="1"/>
      <c r="X129" s="1"/>
      <c r="Y129" s="1"/>
      <c r="Z129" s="1"/>
      <c r="AA129" s="1"/>
      <c r="AB129" s="1"/>
    </row>
    <row r="130" spans="17:28" ht="12">
      <c r="Q130" s="1"/>
      <c r="R130" s="1"/>
      <c r="S130" s="1"/>
      <c r="T130" s="1"/>
      <c r="U130" s="1"/>
      <c r="V130" s="1"/>
      <c r="W130" s="1"/>
      <c r="X130" s="1"/>
      <c r="Y130" s="1"/>
      <c r="Z130" s="1"/>
      <c r="AA130" s="1"/>
      <c r="AB130" s="1"/>
    </row>
    <row r="131" spans="17:28" ht="12">
      <c r="Q131" s="1"/>
      <c r="R131" s="1"/>
      <c r="S131" s="1"/>
      <c r="T131" s="1"/>
      <c r="U131" s="1"/>
      <c r="V131" s="1"/>
      <c r="W131" s="1"/>
      <c r="X131" s="1"/>
      <c r="Y131" s="1"/>
      <c r="Z131" s="1"/>
      <c r="AA131" s="1"/>
      <c r="AB131" s="1"/>
    </row>
    <row r="132" spans="17:28" ht="12">
      <c r="Q132" s="1"/>
      <c r="R132" s="1"/>
      <c r="S132" s="1"/>
      <c r="T132" s="1"/>
      <c r="U132" s="1"/>
      <c r="V132" s="1"/>
      <c r="W132" s="1"/>
      <c r="X132" s="1"/>
      <c r="Y132" s="1"/>
      <c r="Z132" s="1"/>
      <c r="AA132" s="1"/>
      <c r="AB132" s="1"/>
    </row>
    <row r="133" spans="17:28" ht="12">
      <c r="Q133" s="1"/>
      <c r="R133" s="1"/>
      <c r="S133" s="1"/>
      <c r="T133" s="1"/>
      <c r="U133" s="1"/>
      <c r="V133" s="1"/>
      <c r="W133" s="1"/>
      <c r="X133" s="1"/>
      <c r="Y133" s="1"/>
      <c r="Z133" s="1"/>
      <c r="AA133" s="1"/>
      <c r="AB133" s="1"/>
    </row>
    <row r="134" spans="17:28" ht="12">
      <c r="Q134" s="1"/>
      <c r="R134" s="1"/>
      <c r="S134" s="1"/>
      <c r="T134" s="1"/>
      <c r="U134" s="1"/>
      <c r="V134" s="1"/>
      <c r="W134" s="1"/>
      <c r="X134" s="1"/>
      <c r="Y134" s="1"/>
      <c r="Z134" s="1"/>
      <c r="AA134" s="1"/>
      <c r="AB134" s="1"/>
    </row>
    <row r="135" spans="17:28" ht="12">
      <c r="Q135" s="1"/>
      <c r="R135" s="1"/>
      <c r="S135" s="1"/>
      <c r="T135" s="1"/>
      <c r="U135" s="1"/>
      <c r="V135" s="1"/>
      <c r="W135" s="1"/>
      <c r="X135" s="1"/>
      <c r="Y135" s="1"/>
      <c r="Z135" s="1"/>
      <c r="AA135" s="1"/>
      <c r="AB135" s="1"/>
    </row>
    <row r="136" spans="17:28" ht="12">
      <c r="Q136" s="1"/>
      <c r="R136" s="1"/>
      <c r="S136" s="1"/>
      <c r="T136" s="1"/>
      <c r="U136" s="1"/>
      <c r="V136" s="1"/>
      <c r="W136" s="1"/>
      <c r="X136" s="1"/>
      <c r="Y136" s="1"/>
      <c r="Z136" s="1"/>
      <c r="AA136" s="1"/>
      <c r="AB136" s="1"/>
    </row>
    <row r="137" spans="17:28" ht="12">
      <c r="Q137" s="1"/>
      <c r="R137" s="1"/>
      <c r="S137" s="1"/>
      <c r="T137" s="1"/>
      <c r="U137" s="1"/>
      <c r="V137" s="1"/>
      <c r="W137" s="1"/>
      <c r="X137" s="1"/>
      <c r="Y137" s="1"/>
      <c r="Z137" s="1"/>
      <c r="AA137" s="1"/>
      <c r="AB137" s="1"/>
    </row>
    <row r="138" spans="17:28" ht="12">
      <c r="Q138" s="1"/>
      <c r="R138" s="1"/>
      <c r="S138" s="1"/>
      <c r="T138" s="1"/>
      <c r="U138" s="1"/>
      <c r="V138" s="1"/>
      <c r="W138" s="1"/>
      <c r="X138" s="1"/>
      <c r="Y138" s="1"/>
      <c r="Z138" s="1"/>
      <c r="AA138" s="1"/>
      <c r="AB138" s="1"/>
    </row>
    <row r="139" spans="17:28" ht="12">
      <c r="Q139" s="1"/>
      <c r="R139" s="1"/>
      <c r="S139" s="1"/>
      <c r="T139" s="1"/>
      <c r="U139" s="1"/>
      <c r="V139" s="1"/>
      <c r="W139" s="1"/>
      <c r="X139" s="1"/>
      <c r="Y139" s="1"/>
      <c r="Z139" s="1"/>
      <c r="AA139" s="1"/>
      <c r="AB139" s="1"/>
    </row>
    <row r="140" spans="17:28" ht="12">
      <c r="Q140" s="1"/>
      <c r="R140" s="1"/>
      <c r="S140" s="1"/>
      <c r="T140" s="1"/>
      <c r="U140" s="1"/>
      <c r="V140" s="1"/>
      <c r="W140" s="1"/>
      <c r="X140" s="1"/>
      <c r="Y140" s="1"/>
      <c r="Z140" s="1"/>
      <c r="AA140" s="1"/>
      <c r="AB140" s="1"/>
    </row>
    <row r="141" spans="17:28" ht="12">
      <c r="Q141" s="1"/>
      <c r="R141" s="1"/>
      <c r="S141" s="1"/>
      <c r="T141" s="1"/>
      <c r="U141" s="1"/>
      <c r="V141" s="1"/>
      <c r="W141" s="1"/>
      <c r="X141" s="1"/>
      <c r="Y141" s="1"/>
      <c r="Z141" s="1"/>
      <c r="AA141" s="1"/>
      <c r="AB141" s="1"/>
    </row>
    <row r="142" spans="17:28" ht="12">
      <c r="Q142" s="1"/>
      <c r="R142" s="1"/>
      <c r="S142" s="1"/>
      <c r="T142" s="1"/>
      <c r="U142" s="1"/>
      <c r="V142" s="1"/>
      <c r="W142" s="1"/>
      <c r="X142" s="1"/>
      <c r="Y142" s="1"/>
      <c r="Z142" s="1"/>
      <c r="AA142" s="1"/>
      <c r="AB142" s="1"/>
    </row>
    <row r="143" spans="17:28" ht="12">
      <c r="Q143" s="1"/>
      <c r="R143" s="1"/>
      <c r="S143" s="1"/>
      <c r="T143" s="1"/>
      <c r="U143" s="1"/>
      <c r="V143" s="1"/>
      <c r="W143" s="1"/>
      <c r="X143" s="1"/>
      <c r="Y143" s="1"/>
      <c r="Z143" s="1"/>
      <c r="AA143" s="1"/>
      <c r="AB143" s="1"/>
    </row>
    <row r="144" spans="17:28" ht="12">
      <c r="Q144" s="1"/>
      <c r="R144" s="1"/>
      <c r="S144" s="1"/>
      <c r="T144" s="1"/>
      <c r="U144" s="1"/>
      <c r="V144" s="1"/>
      <c r="W144" s="1"/>
      <c r="X144" s="1"/>
      <c r="Y144" s="1"/>
      <c r="Z144" s="1"/>
      <c r="AA144" s="1"/>
      <c r="AB144" s="1"/>
    </row>
    <row r="145" spans="17:28" ht="12">
      <c r="Q145" s="1"/>
      <c r="R145" s="1"/>
      <c r="S145" s="1"/>
      <c r="T145" s="1"/>
      <c r="U145" s="1"/>
      <c r="V145" s="1"/>
      <c r="W145" s="1"/>
      <c r="X145" s="1"/>
      <c r="Y145" s="1"/>
      <c r="Z145" s="1"/>
      <c r="AA145" s="1"/>
      <c r="AB145" s="1"/>
    </row>
    <row r="146" spans="17:28" ht="12">
      <c r="Q146" s="1"/>
      <c r="R146" s="1"/>
      <c r="S146" s="1"/>
      <c r="T146" s="1"/>
      <c r="U146" s="1"/>
      <c r="V146" s="1"/>
      <c r="W146" s="1"/>
      <c r="X146" s="1"/>
      <c r="Y146" s="1"/>
      <c r="Z146" s="1"/>
      <c r="AA146" s="1"/>
      <c r="AB146" s="1"/>
    </row>
    <row r="147" spans="17:28" ht="12">
      <c r="Q147" s="1"/>
      <c r="R147" s="1"/>
      <c r="S147" s="1"/>
      <c r="T147" s="1"/>
      <c r="U147" s="1"/>
      <c r="V147" s="1"/>
      <c r="W147" s="1"/>
      <c r="X147" s="1"/>
      <c r="Y147" s="1"/>
      <c r="Z147" s="1"/>
      <c r="AA147" s="1"/>
      <c r="AB147" s="1"/>
    </row>
    <row r="148" spans="17:28" ht="12">
      <c r="Q148" s="1"/>
      <c r="R148" s="1"/>
      <c r="S148" s="1"/>
      <c r="T148" s="1"/>
      <c r="U148" s="1"/>
      <c r="V148" s="1"/>
      <c r="W148" s="1"/>
      <c r="X148" s="1"/>
      <c r="Y148" s="1"/>
      <c r="Z148" s="1"/>
      <c r="AA148" s="1"/>
      <c r="AB148" s="1"/>
    </row>
    <row r="149" spans="17:28" ht="12">
      <c r="Q149" s="1"/>
      <c r="R149" s="1"/>
      <c r="S149" s="1"/>
      <c r="T149" s="1"/>
      <c r="U149" s="1"/>
      <c r="V149" s="1"/>
      <c r="W149" s="1"/>
      <c r="X149" s="1"/>
      <c r="Y149" s="1"/>
      <c r="Z149" s="1"/>
      <c r="AA149" s="1"/>
      <c r="AB149" s="1"/>
    </row>
    <row r="150" spans="17:28" ht="12">
      <c r="Q150" s="1"/>
      <c r="R150" s="1"/>
      <c r="S150" s="1"/>
      <c r="T150" s="1"/>
      <c r="U150" s="1"/>
      <c r="V150" s="1"/>
      <c r="W150" s="1"/>
      <c r="X150" s="1"/>
      <c r="Y150" s="1"/>
      <c r="Z150" s="1"/>
      <c r="AA150" s="1"/>
      <c r="AB150" s="1"/>
    </row>
    <row r="151" spans="17:28" ht="12">
      <c r="Q151" s="1"/>
      <c r="R151" s="1"/>
      <c r="S151" s="1"/>
      <c r="T151" s="1"/>
      <c r="U151" s="1"/>
      <c r="V151" s="1"/>
      <c r="W151" s="1"/>
      <c r="X151" s="1"/>
      <c r="Y151" s="1"/>
      <c r="Z151" s="1"/>
      <c r="AA151" s="1"/>
      <c r="AB151" s="1"/>
    </row>
    <row r="152" spans="17:28" ht="12">
      <c r="Q152" s="1"/>
      <c r="R152" s="1"/>
      <c r="S152" s="1"/>
      <c r="T152" s="1"/>
      <c r="U152" s="1"/>
      <c r="V152" s="1"/>
      <c r="W152" s="1"/>
      <c r="X152" s="1"/>
      <c r="Y152" s="1"/>
      <c r="Z152" s="1"/>
      <c r="AA152" s="1"/>
      <c r="AB152" s="1"/>
    </row>
    <row r="153" spans="17:28" ht="12">
      <c r="Q153" s="1"/>
      <c r="R153" s="1"/>
      <c r="S153" s="1"/>
      <c r="T153" s="1"/>
      <c r="U153" s="1"/>
      <c r="V153" s="1"/>
      <c r="W153" s="1"/>
      <c r="X153" s="1"/>
      <c r="Y153" s="1"/>
      <c r="Z153" s="1"/>
      <c r="AA153" s="1"/>
      <c r="AB153" s="1"/>
    </row>
    <row r="154" spans="17:28" ht="12">
      <c r="Q154" s="1"/>
      <c r="R154" s="1"/>
      <c r="S154" s="1"/>
      <c r="T154" s="1"/>
      <c r="U154" s="1"/>
      <c r="V154" s="1"/>
      <c r="W154" s="1"/>
      <c r="X154" s="1"/>
      <c r="Y154" s="1"/>
      <c r="Z154" s="1"/>
      <c r="AA154" s="1"/>
      <c r="AB154" s="1"/>
    </row>
    <row r="155" spans="17:28" ht="12">
      <c r="Q155" s="1"/>
      <c r="R155" s="1"/>
      <c r="S155" s="1"/>
      <c r="T155" s="1"/>
      <c r="U155" s="1"/>
      <c r="V155" s="1"/>
      <c r="W155" s="1"/>
      <c r="X155" s="1"/>
      <c r="Y155" s="1"/>
      <c r="Z155" s="1"/>
      <c r="AA155" s="1"/>
      <c r="AB155" s="1"/>
    </row>
    <row r="156" spans="17:28" ht="12">
      <c r="Q156" s="1"/>
      <c r="R156" s="1"/>
      <c r="S156" s="1"/>
      <c r="T156" s="1"/>
      <c r="U156" s="1"/>
      <c r="V156" s="1"/>
      <c r="W156" s="1"/>
      <c r="X156" s="1"/>
      <c r="Y156" s="1"/>
      <c r="Z156" s="1"/>
      <c r="AA156" s="1"/>
      <c r="AB156" s="1"/>
    </row>
    <row r="157" spans="17:28" ht="12">
      <c r="Q157" s="1"/>
      <c r="R157" s="1"/>
      <c r="S157" s="1"/>
      <c r="T157" s="1"/>
      <c r="U157" s="1"/>
      <c r="V157" s="1"/>
      <c r="W157" s="1"/>
      <c r="X157" s="1"/>
      <c r="Y157" s="1"/>
      <c r="Z157" s="1"/>
      <c r="AA157" s="1"/>
      <c r="AB157" s="1"/>
    </row>
    <row r="158" spans="17:28" ht="12">
      <c r="Q158" s="1"/>
      <c r="R158" s="1"/>
      <c r="S158" s="1"/>
      <c r="T158" s="1"/>
      <c r="U158" s="1"/>
      <c r="V158" s="1"/>
      <c r="W158" s="1"/>
      <c r="X158" s="1"/>
      <c r="Y158" s="1"/>
      <c r="Z158" s="1"/>
      <c r="AA158" s="1"/>
      <c r="AB158" s="1"/>
    </row>
    <row r="159" spans="17:28" ht="12">
      <c r="Q159" s="1"/>
      <c r="R159" s="1"/>
      <c r="S159" s="1"/>
      <c r="T159" s="1"/>
      <c r="U159" s="1"/>
      <c r="V159" s="1"/>
      <c r="W159" s="1"/>
      <c r="X159" s="1"/>
      <c r="Y159" s="1"/>
      <c r="Z159" s="1"/>
      <c r="AA159" s="1"/>
      <c r="AB159" s="1"/>
    </row>
    <row r="160" spans="17:28" ht="12">
      <c r="Q160" s="1"/>
      <c r="R160" s="1"/>
      <c r="S160" s="1"/>
      <c r="T160" s="1"/>
      <c r="U160" s="1"/>
      <c r="V160" s="1"/>
      <c r="W160" s="1"/>
      <c r="X160" s="1"/>
      <c r="Y160" s="1"/>
      <c r="Z160" s="1"/>
      <c r="AA160" s="1"/>
      <c r="AB160" s="1"/>
    </row>
    <row r="161" spans="17:28" ht="12">
      <c r="Q161" s="1"/>
      <c r="R161" s="1"/>
      <c r="S161" s="1"/>
      <c r="T161" s="1"/>
      <c r="U161" s="1"/>
      <c r="V161" s="1"/>
      <c r="W161" s="1"/>
      <c r="X161" s="1"/>
      <c r="Y161" s="1"/>
      <c r="Z161" s="1"/>
      <c r="AA161" s="1"/>
      <c r="AB161" s="1"/>
    </row>
    <row r="162" spans="17:28" ht="12">
      <c r="Q162" s="1"/>
      <c r="R162" s="1"/>
      <c r="S162" s="1"/>
      <c r="T162" s="1"/>
      <c r="U162" s="1"/>
      <c r="V162" s="1"/>
      <c r="W162" s="1"/>
      <c r="X162" s="1"/>
      <c r="Y162" s="1"/>
      <c r="Z162" s="1"/>
      <c r="AA162" s="1"/>
      <c r="AB162" s="1"/>
    </row>
    <row r="163" spans="17:28" ht="12">
      <c r="Q163" s="1"/>
      <c r="R163" s="1"/>
      <c r="S163" s="1"/>
      <c r="T163" s="1"/>
      <c r="U163" s="1"/>
      <c r="V163" s="1"/>
      <c r="W163" s="1"/>
      <c r="X163" s="1"/>
      <c r="Y163" s="1"/>
      <c r="Z163" s="1"/>
      <c r="AA163" s="1"/>
      <c r="AB163" s="1"/>
    </row>
    <row r="164" spans="17:28" ht="12">
      <c r="Q164" s="1"/>
      <c r="R164" s="1"/>
      <c r="S164" s="1"/>
      <c r="T164" s="1"/>
      <c r="U164" s="1"/>
      <c r="V164" s="1"/>
      <c r="W164" s="1"/>
      <c r="X164" s="1"/>
      <c r="Y164" s="1"/>
      <c r="Z164" s="1"/>
      <c r="AA164" s="1"/>
      <c r="AB164" s="1"/>
    </row>
    <row r="165" spans="17:28" ht="12">
      <c r="Q165" s="1"/>
      <c r="R165" s="1"/>
      <c r="S165" s="1"/>
      <c r="T165" s="1"/>
      <c r="U165" s="1"/>
      <c r="V165" s="1"/>
      <c r="W165" s="1"/>
      <c r="X165" s="1"/>
      <c r="Y165" s="1"/>
      <c r="Z165" s="1"/>
      <c r="AA165" s="1"/>
      <c r="AB165" s="1"/>
    </row>
    <row r="166" spans="17:28" ht="12">
      <c r="Q166" s="1"/>
      <c r="R166" s="1"/>
      <c r="S166" s="1"/>
      <c r="T166" s="1"/>
      <c r="U166" s="1"/>
      <c r="V166" s="1"/>
      <c r="W166" s="1"/>
      <c r="X166" s="1"/>
      <c r="Y166" s="1"/>
      <c r="Z166" s="1"/>
      <c r="AA166" s="1"/>
      <c r="AB166" s="1"/>
    </row>
    <row r="167" spans="17:28" ht="12">
      <c r="Q167" s="1"/>
      <c r="R167" s="1"/>
      <c r="S167" s="1"/>
      <c r="T167" s="1"/>
      <c r="U167" s="1"/>
      <c r="V167" s="1"/>
      <c r="W167" s="1"/>
      <c r="X167" s="1"/>
      <c r="Y167" s="1"/>
      <c r="Z167" s="1"/>
      <c r="AA167" s="1"/>
      <c r="AB167" s="1"/>
    </row>
    <row r="168" spans="17:28" ht="12">
      <c r="Q168" s="1"/>
      <c r="R168" s="1"/>
      <c r="S168" s="1"/>
      <c r="T168" s="1"/>
      <c r="U168" s="1"/>
      <c r="V168" s="1"/>
      <c r="W168" s="1"/>
      <c r="X168" s="1"/>
      <c r="Y168" s="1"/>
      <c r="Z168" s="1"/>
      <c r="AA168" s="1"/>
      <c r="AB168" s="1"/>
    </row>
    <row r="169" spans="17:28" ht="12">
      <c r="Q169" s="1"/>
      <c r="R169" s="1"/>
      <c r="S169" s="1"/>
      <c r="T169" s="1"/>
      <c r="U169" s="1"/>
      <c r="V169" s="1"/>
      <c r="W169" s="1"/>
      <c r="X169" s="1"/>
      <c r="Y169" s="1"/>
      <c r="Z169" s="1"/>
      <c r="AA169" s="1"/>
      <c r="AB169" s="1"/>
    </row>
    <row r="170" spans="17:28" ht="12">
      <c r="Q170" s="1"/>
      <c r="R170" s="1"/>
      <c r="S170" s="1"/>
      <c r="T170" s="1"/>
      <c r="U170" s="1"/>
      <c r="V170" s="1"/>
      <c r="W170" s="1"/>
      <c r="X170" s="1"/>
      <c r="Y170" s="1"/>
      <c r="Z170" s="1"/>
      <c r="AA170" s="1"/>
      <c r="AB170" s="1"/>
    </row>
    <row r="171" spans="17:28" ht="12">
      <c r="Q171" s="1"/>
      <c r="R171" s="1"/>
      <c r="S171" s="1"/>
      <c r="T171" s="1"/>
      <c r="U171" s="1"/>
      <c r="V171" s="1"/>
      <c r="W171" s="1"/>
      <c r="X171" s="1"/>
      <c r="Y171" s="1"/>
      <c r="Z171" s="1"/>
      <c r="AA171" s="1"/>
      <c r="AB171" s="1"/>
    </row>
    <row r="172" spans="17:28" ht="12">
      <c r="Q172" s="1"/>
      <c r="R172" s="1"/>
      <c r="S172" s="1"/>
      <c r="T172" s="1"/>
      <c r="U172" s="1"/>
      <c r="V172" s="1"/>
      <c r="W172" s="1"/>
      <c r="X172" s="1"/>
      <c r="Y172" s="1"/>
      <c r="Z172" s="1"/>
      <c r="AA172" s="1"/>
      <c r="AB172" s="1"/>
    </row>
    <row r="173" spans="17:28" ht="12">
      <c r="Q173" s="1"/>
      <c r="R173" s="1"/>
      <c r="S173" s="1"/>
      <c r="T173" s="1"/>
      <c r="U173" s="1"/>
      <c r="V173" s="1"/>
      <c r="W173" s="1"/>
      <c r="X173" s="1"/>
      <c r="Y173" s="1"/>
      <c r="Z173" s="1"/>
      <c r="AA173" s="1"/>
      <c r="AB173" s="1"/>
    </row>
    <row r="174" spans="17:28" ht="12">
      <c r="Q174" s="1"/>
      <c r="R174" s="1"/>
      <c r="S174" s="1"/>
      <c r="T174" s="1"/>
      <c r="U174" s="1"/>
      <c r="V174" s="1"/>
      <c r="W174" s="1"/>
      <c r="X174" s="1"/>
      <c r="Y174" s="1"/>
      <c r="Z174" s="1"/>
      <c r="AA174" s="1"/>
      <c r="AB174" s="1"/>
    </row>
    <row r="175" spans="17:28" ht="12">
      <c r="Q175" s="1"/>
      <c r="R175" s="1"/>
      <c r="S175" s="1"/>
      <c r="T175" s="1"/>
      <c r="U175" s="1"/>
      <c r="V175" s="1"/>
      <c r="W175" s="1"/>
      <c r="X175" s="1"/>
      <c r="Y175" s="1"/>
      <c r="Z175" s="1"/>
      <c r="AA175" s="1"/>
      <c r="AB175" s="1"/>
    </row>
    <row r="176" spans="17:28" ht="12">
      <c r="Q176" s="1"/>
      <c r="R176" s="1"/>
      <c r="S176" s="1"/>
      <c r="T176" s="1"/>
      <c r="U176" s="1"/>
      <c r="V176" s="1"/>
      <c r="W176" s="1"/>
      <c r="X176" s="1"/>
      <c r="Y176" s="1"/>
      <c r="Z176" s="1"/>
      <c r="AA176" s="1"/>
      <c r="AB176" s="1"/>
    </row>
    <row r="177" spans="17:28" ht="12">
      <c r="Q177" s="1"/>
      <c r="R177" s="1"/>
      <c r="S177" s="1"/>
      <c r="T177" s="1"/>
      <c r="U177" s="1"/>
      <c r="V177" s="1"/>
      <c r="W177" s="1"/>
      <c r="X177" s="1"/>
      <c r="Y177" s="1"/>
      <c r="Z177" s="1"/>
      <c r="AA177" s="1"/>
      <c r="AB177" s="1"/>
    </row>
    <row r="178" spans="17:28" ht="12">
      <c r="Q178" s="1"/>
      <c r="R178" s="1"/>
      <c r="S178" s="1"/>
      <c r="T178" s="1"/>
      <c r="U178" s="1"/>
      <c r="V178" s="1"/>
      <c r="W178" s="1"/>
      <c r="X178" s="1"/>
      <c r="Y178" s="1"/>
      <c r="Z178" s="1"/>
      <c r="AA178" s="1"/>
      <c r="AB178" s="1"/>
    </row>
    <row r="179" spans="17:28" ht="12">
      <c r="Q179" s="1"/>
      <c r="R179" s="1"/>
      <c r="S179" s="1"/>
      <c r="T179" s="1"/>
      <c r="U179" s="1"/>
      <c r="V179" s="1"/>
      <c r="W179" s="1"/>
      <c r="X179" s="1"/>
      <c r="Y179" s="1"/>
      <c r="Z179" s="1"/>
      <c r="AA179" s="1"/>
      <c r="AB179" s="1"/>
    </row>
    <row r="180" spans="17:28" ht="12">
      <c r="Q180" s="1"/>
      <c r="R180" s="1"/>
      <c r="S180" s="1"/>
      <c r="T180" s="1"/>
      <c r="U180" s="1"/>
      <c r="V180" s="1"/>
      <c r="W180" s="1"/>
      <c r="X180" s="1"/>
      <c r="Y180" s="1"/>
      <c r="Z180" s="1"/>
      <c r="AA180" s="1"/>
      <c r="AB180" s="1"/>
    </row>
    <row r="181" spans="17:28" ht="12">
      <c r="Q181" s="1"/>
      <c r="R181" s="1"/>
      <c r="S181" s="1"/>
      <c r="T181" s="1"/>
      <c r="U181" s="1"/>
      <c r="V181" s="1"/>
      <c r="W181" s="1"/>
      <c r="X181" s="1"/>
      <c r="Y181" s="1"/>
      <c r="Z181" s="1"/>
      <c r="AA181" s="1"/>
      <c r="AB181" s="1"/>
    </row>
    <row r="182" spans="17:28" ht="12">
      <c r="Q182" s="1"/>
      <c r="R182" s="1"/>
      <c r="S182" s="1"/>
      <c r="T182" s="1"/>
      <c r="U182" s="1"/>
      <c r="V182" s="1"/>
      <c r="W182" s="1"/>
      <c r="X182" s="1"/>
      <c r="Y182" s="1"/>
      <c r="Z182" s="1"/>
      <c r="AA182" s="1"/>
      <c r="AB182" s="1"/>
    </row>
    <row r="183" spans="17:28" ht="12">
      <c r="Q183" s="1"/>
      <c r="R183" s="1"/>
      <c r="S183" s="1"/>
      <c r="T183" s="1"/>
      <c r="U183" s="1"/>
      <c r="V183" s="1"/>
      <c r="W183" s="1"/>
      <c r="X183" s="1"/>
      <c r="Y183" s="1"/>
      <c r="Z183" s="1"/>
      <c r="AA183" s="1"/>
      <c r="AB183" s="1"/>
    </row>
    <row r="184" spans="17:28" ht="12">
      <c r="Q184" s="1"/>
      <c r="R184" s="1"/>
      <c r="S184" s="1"/>
      <c r="T184" s="1"/>
      <c r="U184" s="1"/>
      <c r="V184" s="1"/>
      <c r="W184" s="1"/>
      <c r="X184" s="1"/>
      <c r="Y184" s="1"/>
      <c r="Z184" s="1"/>
      <c r="AA184" s="1"/>
      <c r="AB184" s="1"/>
    </row>
    <row r="185" spans="17:28" ht="12">
      <c r="Q185" s="1"/>
      <c r="R185" s="1"/>
      <c r="S185" s="1"/>
      <c r="T185" s="1"/>
      <c r="U185" s="1"/>
      <c r="V185" s="1"/>
      <c r="W185" s="1"/>
      <c r="X185" s="1"/>
      <c r="Y185" s="1"/>
      <c r="Z185" s="1"/>
      <c r="AA185" s="1"/>
      <c r="AB185" s="1"/>
    </row>
  </sheetData>
  <sheetProtection sheet="1" objects="1" scenarios="1"/>
  <printOptions/>
  <pageMargins left="0.787401575" right="0.787401575" top="0.984251969" bottom="0.984251969" header="0.5" footer="0.5"/>
  <pageSetup fitToHeight="1" fitToWidth="1" horizontalDpi="600" verticalDpi="600" orientation="landscape"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aajhsc</dc:creator>
  <cp:keywords/>
  <dc:description/>
  <cp:lastModifiedBy>aeris</cp:lastModifiedBy>
  <cp:lastPrinted>2008-12-02T00:31:26Z</cp:lastPrinted>
  <dcterms:created xsi:type="dcterms:W3CDTF">2008-09-17T17:13:24Z</dcterms:created>
  <dcterms:modified xsi:type="dcterms:W3CDTF">2019-06-19T08:09:32Z</dcterms:modified>
  <cp:category/>
  <cp:version/>
  <cp:contentType/>
  <cp:contentStatus/>
</cp:coreProperties>
</file>